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E66E7D4E6E4C0B0A24D026188BF297D8CA9500A3" xr6:coauthVersionLast="47" xr6:coauthVersionMax="47" xr10:uidLastSave="{3228EF99-4724-4E3B-A3F6-A8824969200F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<sst xmlns="http://schemas.openxmlformats.org/spreadsheetml/2006/main" count="1545" uniqueCount="182">
  <si>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</si>
  <si>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</si>
  <si>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</si>
  <si>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</si>
  <si>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</si>
  <si>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</si>
  <si>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</si>
  <si>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</si>
  <si>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</si>
  <si>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PP</t>
  </si>
  <si>
    <t>Na minha unidade, participamos efetivamente da elaboração do planejamento interno, mas não utilizamos os resultados da Autoavaliação</t>
  </si>
  <si>
    <t>Observo na minha unidade a atenção e a inserção dos resultados da Autoavaliação em ações de melhoria</t>
  </si>
  <si>
    <t>Sim</t>
  </si>
  <si>
    <t>Bom</t>
  </si>
  <si>
    <t>Na minha unidade, participamos efetivamente da elaboração do planejamento interno e consideramos os resultados da Autoavaliação</t>
  </si>
  <si>
    <t>Regular</t>
  </si>
  <si>
    <t>Não sei responder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</si>
  <si>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</si>
  <si>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</si>
  <si>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Ruim</t>
  </si>
  <si>
    <t>Péssimo</t>
  </si>
  <si>
    <t>tecnico</t>
  </si>
  <si>
    <t>Não</t>
  </si>
  <si>
    <t>Excelente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</si>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</sst>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1709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1709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605056"/>
        <c:axId val="92631424"/>
      </c:barChart>
      <c:catAx>
        <c:axId val="926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31424"/>
        <c:crosses val="autoZero"/>
        <c:auto val="1"/>
        <c:lblAlgn val="ctr"/>
        <c:lblOffset val="100"/>
        <c:noMultiLvlLbl val="0"/>
      </c:catAx>
      <c:valAx>
        <c:axId val="926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1457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1452</c:v>
                </c:pt>
                <c:pt idx="1">
                  <c:v>3</c:v>
                </c:pt>
                <c:pt idx="2">
                  <c:v>1</c:v>
                </c:pt>
                <c:pt idx="3">
                  <c:v>11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601152"/>
        <c:axId val="93607040"/>
      </c:barChart>
      <c:catAx>
        <c:axId val="936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07040"/>
        <c:crosses val="autoZero"/>
        <c:auto val="1"/>
        <c:lblAlgn val="ctr"/>
        <c:lblOffset val="100"/>
        <c:noMultiLvlLbl val="0"/>
      </c:catAx>
      <c:valAx>
        <c:axId val="936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0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310976"/>
        <c:axId val="93312512"/>
      </c:barChart>
      <c:catAx>
        <c:axId val="93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2512"/>
        <c:crosses val="autoZero"/>
        <c:auto val="1"/>
        <c:lblAlgn val="ctr"/>
        <c:lblOffset val="100"/>
        <c:noMultiLvlLbl val="0"/>
      </c:catAx>
      <c:valAx>
        <c:axId val="93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6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37.5</c:v>
                </c:pt>
                <c:pt idx="2">
                  <c:v>31.25</c:v>
                </c:pt>
                <c:pt idx="3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10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50</c:v>
                </c:pt>
                <c:pt idx="2">
                  <c:v>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69216"/>
        <c:axId val="94979200"/>
      </c:barChart>
      <c:catAx>
        <c:axId val="949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79200"/>
        <c:crosses val="autoZero"/>
        <c:auto val="1"/>
        <c:lblAlgn val="ctr"/>
        <c:lblOffset val="100"/>
        <c:noMultiLvlLbl val="0"/>
      </c:catAx>
      <c:valAx>
        <c:axId val="9497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14144"/>
        <c:axId val="97015680"/>
      </c:barChart>
      <c:catAx>
        <c:axId val="9701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15680"/>
        <c:crosses val="autoZero"/>
        <c:auto val="1"/>
        <c:lblAlgn val="ctr"/>
        <c:lblOffset val="100"/>
        <c:noMultiLvlLbl val="0"/>
      </c:catAx>
      <c:valAx>
        <c:axId val="970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403648"/>
        <c:axId val="97405184"/>
      </c:barChart>
      <c:catAx>
        <c:axId val="974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05184"/>
        <c:crosses val="autoZero"/>
        <c:auto val="1"/>
        <c:lblAlgn val="ctr"/>
        <c:lblOffset val="100"/>
        <c:noMultiLvlLbl val="0"/>
      </c:catAx>
      <c:valAx>
        <c:axId val="974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0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25</c:v>
                </c:pt>
                <c:pt idx="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25</c:v>
                </c:pt>
                <c:pt idx="1">
                  <c:v>5</c:v>
                </c:pt>
                <c:pt idx="2">
                  <c:v>25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85568"/>
        <c:axId val="105095552"/>
      </c:barChart>
      <c:catAx>
        <c:axId val="1050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95552"/>
        <c:crosses val="autoZero"/>
        <c:auto val="1"/>
        <c:lblAlgn val="ctr"/>
        <c:lblOffset val="100"/>
        <c:noMultiLvlLbl val="0"/>
      </c:catAx>
      <c:valAx>
        <c:axId val="1050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18.75</c:v>
                </c:pt>
                <c:pt idx="1">
                  <c:v>18.75</c:v>
                </c:pt>
                <c:pt idx="2">
                  <c:v>25</c:v>
                </c:pt>
                <c:pt idx="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45</c:v>
                </c:pt>
                <c:pt idx="1">
                  <c:v>5</c:v>
                </c:pt>
                <c:pt idx="2">
                  <c:v>30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6.25</c:v>
                </c:pt>
                <c:pt idx="1">
                  <c:v>6.25</c:v>
                </c:pt>
                <c:pt idx="2">
                  <c:v>50</c:v>
                </c:pt>
                <c:pt idx="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45</c:v>
                </c:pt>
                <c:pt idx="1">
                  <c:v>15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94784"/>
        <c:axId val="105496576"/>
      </c:barChart>
      <c:catAx>
        <c:axId val="1054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6576"/>
        <c:crosses val="autoZero"/>
        <c:auto val="1"/>
        <c:lblAlgn val="ctr"/>
        <c:lblOffset val="100"/>
        <c:noMultiLvlLbl val="0"/>
      </c:catAx>
      <c:valAx>
        <c:axId val="10549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877056"/>
        <c:axId val="104891136"/>
      </c:barChart>
      <c:catAx>
        <c:axId val="10487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91136"/>
        <c:crosses val="autoZero"/>
        <c:auto val="1"/>
        <c:lblAlgn val="ctr"/>
        <c:lblOffset val="100"/>
        <c:noMultiLvlLbl val="0"/>
      </c:catAx>
      <c:valAx>
        <c:axId val="10489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7.1429999999999998</c:v>
                </c:pt>
                <c:pt idx="2">
                  <c:v>21.428999999999998</c:v>
                </c:pt>
                <c:pt idx="3">
                  <c:v>64.286000000000001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55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985728"/>
        <c:axId val="104987264"/>
      </c:barChart>
      <c:catAx>
        <c:axId val="1049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87264"/>
        <c:crosses val="autoZero"/>
        <c:auto val="1"/>
        <c:lblAlgn val="ctr"/>
        <c:lblOffset val="100"/>
        <c:noMultiLvlLbl val="0"/>
      </c:catAx>
      <c:valAx>
        <c:axId val="1049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8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35.713999999999999</c:v>
                </c:pt>
                <c:pt idx="1">
                  <c:v>0</c:v>
                </c:pt>
                <c:pt idx="2">
                  <c:v>14.286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35</c:v>
                </c:pt>
                <c:pt idx="1">
                  <c:v>10</c:v>
                </c:pt>
                <c:pt idx="2">
                  <c:v>35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703872"/>
        <c:axId val="106705664"/>
      </c:barChart>
      <c:catAx>
        <c:axId val="1067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5664"/>
        <c:crosses val="autoZero"/>
        <c:auto val="1"/>
        <c:lblAlgn val="ctr"/>
        <c:lblOffset val="100"/>
        <c:noMultiLvlLbl val="0"/>
      </c:catAx>
      <c:valAx>
        <c:axId val="1067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21.428999999999998</c:v>
                </c:pt>
                <c:pt idx="2">
                  <c:v>21.428999999999998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35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740032"/>
        <c:axId val="111741568"/>
      </c:barChart>
      <c:catAx>
        <c:axId val="1117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41568"/>
        <c:crosses val="autoZero"/>
        <c:auto val="1"/>
        <c:lblAlgn val="ctr"/>
        <c:lblOffset val="100"/>
        <c:noMultiLvlLbl val="0"/>
      </c:catAx>
      <c:valAx>
        <c:axId val="1117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4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14.286</c:v>
                </c:pt>
                <c:pt idx="2">
                  <c:v>28.571000000000002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22336"/>
        <c:axId val="110252800"/>
      </c:barChart>
      <c:catAx>
        <c:axId val="1102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52800"/>
        <c:crosses val="autoZero"/>
        <c:auto val="1"/>
        <c:lblAlgn val="ctr"/>
        <c:lblOffset val="100"/>
        <c:noMultiLvlLbl val="0"/>
      </c:catAx>
      <c:valAx>
        <c:axId val="1102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2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7.1429999999999998</c:v>
                </c:pt>
                <c:pt idx="2">
                  <c:v>21.428999999999998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25</c:v>
                </c:pt>
                <c:pt idx="1">
                  <c:v>20</c:v>
                </c:pt>
                <c:pt idx="2">
                  <c:v>35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932544"/>
        <c:axId val="111934080"/>
      </c:barChart>
      <c:catAx>
        <c:axId val="111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4080"/>
        <c:crosses val="autoZero"/>
        <c:auto val="1"/>
        <c:lblAlgn val="ctr"/>
        <c:lblOffset val="100"/>
        <c:noMultiLvlLbl val="0"/>
      </c:catAx>
      <c:valAx>
        <c:axId val="1119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7.1429999999999998</c:v>
                </c:pt>
                <c:pt idx="2">
                  <c:v>7.1429999999999998</c:v>
                </c:pt>
                <c:pt idx="3">
                  <c:v>78.570999999999998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6400"/>
        <c:axId val="112096384"/>
      </c:barChart>
      <c:catAx>
        <c:axId val="1120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96384"/>
        <c:crosses val="autoZero"/>
        <c:auto val="1"/>
        <c:lblAlgn val="ctr"/>
        <c:lblOffset val="100"/>
        <c:noMultiLvlLbl val="0"/>
      </c:catAx>
      <c:valAx>
        <c:axId val="1120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35.713999999999999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10</c:v>
                </c:pt>
                <c:pt idx="1">
                  <c:v>35</c:v>
                </c:pt>
                <c:pt idx="2">
                  <c:v>20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772032"/>
        <c:axId val="113773568"/>
      </c:barChart>
      <c:catAx>
        <c:axId val="1137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3568"/>
        <c:crosses val="autoZero"/>
        <c:auto val="1"/>
        <c:lblAlgn val="ctr"/>
        <c:lblOffset val="100"/>
        <c:noMultiLvlLbl val="0"/>
      </c:catAx>
      <c:valAx>
        <c:axId val="1137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14.286</c:v>
                </c:pt>
                <c:pt idx="1">
                  <c:v>7.1429999999999998</c:v>
                </c:pt>
                <c:pt idx="2">
                  <c:v>21.428999999999998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35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467968"/>
        <c:axId val="112469504"/>
      </c:barChart>
      <c:catAx>
        <c:axId val="1124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9504"/>
        <c:crosses val="autoZero"/>
        <c:auto val="1"/>
        <c:lblAlgn val="ctr"/>
        <c:lblOffset val="100"/>
        <c:noMultiLvlLbl val="0"/>
      </c:catAx>
      <c:valAx>
        <c:axId val="1124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7.1429999999999998</c:v>
                </c:pt>
                <c:pt idx="1">
                  <c:v>7.1429999999999998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25</c:v>
                </c:pt>
                <c:pt idx="1">
                  <c:v>5</c:v>
                </c:pt>
                <c:pt idx="2">
                  <c:v>30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638592"/>
        <c:axId val="112648576"/>
      </c:barChart>
      <c:catAx>
        <c:axId val="112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48576"/>
        <c:crosses val="autoZero"/>
        <c:auto val="1"/>
        <c:lblAlgn val="ctr"/>
        <c:lblOffset val="100"/>
        <c:noMultiLvlLbl val="0"/>
      </c:catAx>
      <c:valAx>
        <c:axId val="11264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3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21.428999999999998</c:v>
                </c:pt>
                <c:pt idx="1">
                  <c:v>7.1429999999999998</c:v>
                </c:pt>
                <c:pt idx="2">
                  <c:v>21.428999999999998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7" totalsRowShown="0" headerRowDxfId="31" dataDxfId="30">
  <autoFilter ref="A1:H37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5" totalsRowShown="0" headerRowDxfId="21" dataDxfId="20">
  <autoFilter ref="A1:L35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zoomScaleNormal="100" workbookViewId="0">
      <selection activeCell="J10" sqref="J10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8</v>
      </c>
      <c r="B3" s="114" t="s">
        <v>9</v>
      </c>
      <c r="C3" s="79" t="s">
        <v>14</v>
      </c>
      <c r="D3" s="79" t="s">
        <v>11</v>
      </c>
      <c r="E3" s="79" t="s">
        <v>12</v>
      </c>
      <c r="F3" s="79" t="s">
        <v>13</v>
      </c>
      <c r="G3" s="79" t="s">
        <v>15</v>
      </c>
      <c r="H3" s="79" t="s">
        <v>16</v>
      </c>
    </row>
    <row r="4" spans="1:10">
      <c r="A4" s="114" t="s">
        <v>8</v>
      </c>
      <c r="B4" s="114" t="s">
        <v>9</v>
      </c>
      <c r="C4" s="79" t="s">
        <v>17</v>
      </c>
      <c r="D4" s="79" t="s">
        <v>18</v>
      </c>
      <c r="E4" s="79" t="s">
        <v>12</v>
      </c>
      <c r="F4" s="79" t="s">
        <v>19</v>
      </c>
      <c r="G4" s="79" t="s">
        <v>20</v>
      </c>
      <c r="H4" s="79" t="s">
        <v>20</v>
      </c>
    </row>
    <row r="5" spans="1:10">
      <c r="A5" s="114" t="s">
        <v>21</v>
      </c>
      <c r="B5" s="114" t="s">
        <v>9</v>
      </c>
      <c r="C5" s="79" t="s">
        <v>17</v>
      </c>
      <c r="D5" s="79" t="s">
        <v>18</v>
      </c>
      <c r="E5" s="79" t="s">
        <v>22</v>
      </c>
      <c r="F5" s="79" t="s">
        <v>16</v>
      </c>
      <c r="G5" s="79" t="s">
        <v>16</v>
      </c>
      <c r="H5" s="79" t="s">
        <v>13</v>
      </c>
    </row>
    <row r="6" spans="1:10">
      <c r="A6" s="114" t="s">
        <v>21</v>
      </c>
      <c r="B6" s="114" t="s">
        <v>9</v>
      </c>
      <c r="C6" s="79" t="s">
        <v>10</v>
      </c>
      <c r="D6" s="79" t="s">
        <v>18</v>
      </c>
      <c r="E6" s="79" t="s">
        <v>12</v>
      </c>
      <c r="F6" s="79" t="s">
        <v>20</v>
      </c>
      <c r="G6" s="79" t="s">
        <v>19</v>
      </c>
      <c r="H6" s="79" t="s">
        <v>13</v>
      </c>
    </row>
    <row r="7" spans="1:10">
      <c r="A7" s="114" t="s">
        <v>8</v>
      </c>
      <c r="B7" s="114" t="s">
        <v>9</v>
      </c>
      <c r="C7" s="79" t="s">
        <v>17</v>
      </c>
      <c r="D7" s="79" t="s">
        <v>18</v>
      </c>
      <c r="E7" s="79" t="s">
        <v>22</v>
      </c>
      <c r="F7" s="79" t="s">
        <v>19</v>
      </c>
      <c r="G7" s="79" t="s">
        <v>19</v>
      </c>
      <c r="H7" s="79" t="s">
        <v>19</v>
      </c>
    </row>
    <row r="8" spans="1:10">
      <c r="A8" s="114" t="s">
        <v>8</v>
      </c>
      <c r="B8" s="114" t="s">
        <v>9</v>
      </c>
      <c r="C8" s="79" t="s">
        <v>14</v>
      </c>
      <c r="D8" s="79" t="s">
        <v>11</v>
      </c>
      <c r="E8" s="79" t="s">
        <v>12</v>
      </c>
      <c r="F8" s="79" t="s">
        <v>15</v>
      </c>
      <c r="G8" s="79" t="s">
        <v>15</v>
      </c>
      <c r="H8" s="79" t="s">
        <v>19</v>
      </c>
    </row>
    <row r="9" spans="1:10">
      <c r="A9" s="114" t="s">
        <v>21</v>
      </c>
      <c r="B9" s="114" t="s">
        <v>9</v>
      </c>
      <c r="C9" s="79" t="s">
        <v>17</v>
      </c>
      <c r="D9" s="79" t="s">
        <v>18</v>
      </c>
      <c r="E9" s="79" t="s">
        <v>22</v>
      </c>
      <c r="F9" s="79" t="s">
        <v>15</v>
      </c>
      <c r="G9" s="79" t="s">
        <v>15</v>
      </c>
      <c r="H9" s="79" t="s">
        <v>15</v>
      </c>
    </row>
    <row r="10" spans="1:10">
      <c r="A10" s="114" t="s">
        <v>21</v>
      </c>
      <c r="B10" s="114" t="s">
        <v>9</v>
      </c>
      <c r="C10" s="79" t="s">
        <v>10</v>
      </c>
      <c r="D10" s="79" t="s">
        <v>18</v>
      </c>
      <c r="E10" s="79" t="s">
        <v>22</v>
      </c>
      <c r="F10" s="79" t="s">
        <v>16</v>
      </c>
      <c r="G10" s="79" t="s">
        <v>16</v>
      </c>
      <c r="H10" s="79" t="s">
        <v>15</v>
      </c>
    </row>
    <row r="11" spans="1:10">
      <c r="A11" s="114" t="s">
        <v>21</v>
      </c>
      <c r="B11" s="114" t="s">
        <v>9</v>
      </c>
      <c r="C11" s="79" t="s">
        <v>14</v>
      </c>
      <c r="D11" s="79" t="s">
        <v>11</v>
      </c>
      <c r="E11" s="79" t="s">
        <v>12</v>
      </c>
      <c r="F11" s="79" t="s">
        <v>23</v>
      </c>
      <c r="G11" s="79" t="s">
        <v>13</v>
      </c>
      <c r="H11" s="79" t="s">
        <v>23</v>
      </c>
    </row>
    <row r="12" spans="1:10">
      <c r="A12" s="114" t="s">
        <v>8</v>
      </c>
      <c r="B12" s="114" t="s">
        <v>9</v>
      </c>
      <c r="C12" s="79" t="s">
        <v>17</v>
      </c>
      <c r="D12" s="79" t="s">
        <v>18</v>
      </c>
      <c r="E12" s="79" t="s">
        <v>22</v>
      </c>
      <c r="F12" s="79" t="s">
        <v>15</v>
      </c>
      <c r="G12" s="79" t="s">
        <v>20</v>
      </c>
      <c r="H12" s="79" t="s">
        <v>19</v>
      </c>
    </row>
    <row r="13" spans="1:10">
      <c r="A13" s="114" t="s">
        <v>21</v>
      </c>
      <c r="B13" s="114" t="s">
        <v>9</v>
      </c>
      <c r="C13" s="79" t="s">
        <v>14</v>
      </c>
      <c r="D13" s="79" t="s">
        <v>11</v>
      </c>
      <c r="E13" s="79" t="s">
        <v>12</v>
      </c>
      <c r="F13" s="79" t="s">
        <v>13</v>
      </c>
      <c r="G13" s="79" t="s">
        <v>13</v>
      </c>
      <c r="H13" s="79" t="s">
        <v>13</v>
      </c>
    </row>
    <row r="14" spans="1:10">
      <c r="A14" s="114" t="s">
        <v>21</v>
      </c>
      <c r="B14" s="114" t="s">
        <v>9</v>
      </c>
      <c r="C14" s="79" t="s">
        <v>14</v>
      </c>
      <c r="D14" s="79" t="s">
        <v>11</v>
      </c>
      <c r="E14" s="79" t="s">
        <v>12</v>
      </c>
      <c r="F14" s="79" t="s">
        <v>13</v>
      </c>
      <c r="G14" s="79" t="s">
        <v>13</v>
      </c>
      <c r="H14" s="79" t="s">
        <v>15</v>
      </c>
    </row>
    <row r="15" spans="1:10">
      <c r="A15" s="114" t="s">
        <v>8</v>
      </c>
      <c r="B15" s="114" t="s">
        <v>9</v>
      </c>
      <c r="C15" s="79" t="s">
        <v>17</v>
      </c>
      <c r="D15" s="79" t="s">
        <v>18</v>
      </c>
      <c r="E15" s="79" t="s">
        <v>22</v>
      </c>
      <c r="F15" s="79" t="s">
        <v>19</v>
      </c>
      <c r="G15" s="79" t="s">
        <v>20</v>
      </c>
      <c r="H15" s="79" t="s">
        <v>19</v>
      </c>
    </row>
    <row r="16" spans="1:10">
      <c r="A16" s="114" t="s">
        <v>8</v>
      </c>
      <c r="B16" s="114" t="s">
        <v>9</v>
      </c>
      <c r="C16" s="79" t="s">
        <v>14</v>
      </c>
      <c r="D16" s="79" t="s">
        <v>11</v>
      </c>
      <c r="E16" s="79" t="s">
        <v>12</v>
      </c>
      <c r="F16" s="79" t="s">
        <v>15</v>
      </c>
      <c r="G16" s="79" t="s">
        <v>23</v>
      </c>
      <c r="H16" s="79" t="s">
        <v>23</v>
      </c>
    </row>
    <row r="17" spans="1:8">
      <c r="A17" s="114" t="s">
        <v>8</v>
      </c>
      <c r="B17" s="114" t="s">
        <v>9</v>
      </c>
      <c r="C17" s="79" t="s">
        <v>17</v>
      </c>
      <c r="D17" s="79" t="s">
        <v>11</v>
      </c>
      <c r="E17" s="79" t="s">
        <v>12</v>
      </c>
      <c r="F17" s="79" t="s">
        <v>19</v>
      </c>
      <c r="G17" s="79" t="s">
        <v>19</v>
      </c>
      <c r="H17" s="79" t="s">
        <v>19</v>
      </c>
    </row>
    <row r="18" spans="1:8">
      <c r="A18" s="114" t="s">
        <v>8</v>
      </c>
      <c r="B18" s="114" t="s">
        <v>9</v>
      </c>
      <c r="C18" s="79" t="s">
        <v>17</v>
      </c>
      <c r="D18" s="79" t="s">
        <v>18</v>
      </c>
      <c r="E18" s="79" t="s">
        <v>22</v>
      </c>
      <c r="F18" s="79" t="s">
        <v>13</v>
      </c>
      <c r="G18" s="79" t="s">
        <v>20</v>
      </c>
      <c r="H18" s="79" t="s">
        <v>13</v>
      </c>
    </row>
    <row r="19" spans="1:8">
      <c r="A19" s="114" t="s">
        <v>21</v>
      </c>
      <c r="B19" s="114" t="s">
        <v>9</v>
      </c>
      <c r="C19" s="79" t="s">
        <v>10</v>
      </c>
      <c r="D19" s="79" t="s">
        <v>18</v>
      </c>
      <c r="E19" s="79" t="s">
        <v>12</v>
      </c>
      <c r="F19" s="79" t="s">
        <v>13</v>
      </c>
      <c r="G19" s="79" t="s">
        <v>23</v>
      </c>
      <c r="H19" s="79" t="s">
        <v>15</v>
      </c>
    </row>
    <row r="20" spans="1:8">
      <c r="A20" s="114" t="s">
        <v>21</v>
      </c>
      <c r="B20" s="114" t="s">
        <v>9</v>
      </c>
      <c r="C20" s="79" t="s">
        <v>10</v>
      </c>
      <c r="D20" s="79" t="s">
        <v>11</v>
      </c>
      <c r="E20" s="79" t="s">
        <v>22</v>
      </c>
      <c r="F20" s="79" t="s">
        <v>15</v>
      </c>
      <c r="G20" s="79" t="s">
        <v>15</v>
      </c>
      <c r="H20" s="79" t="s">
        <v>15</v>
      </c>
    </row>
    <row r="21" spans="1:8">
      <c r="A21" s="114" t="s">
        <v>8</v>
      </c>
      <c r="B21" s="114" t="s">
        <v>9</v>
      </c>
      <c r="C21" s="79" t="s">
        <v>17</v>
      </c>
      <c r="D21" s="79" t="s">
        <v>18</v>
      </c>
      <c r="E21" s="79" t="s">
        <v>12</v>
      </c>
      <c r="F21" s="79" t="s">
        <v>13</v>
      </c>
      <c r="G21" s="79" t="s">
        <v>19</v>
      </c>
      <c r="H21" s="79" t="s">
        <v>13</v>
      </c>
    </row>
    <row r="22" spans="1:8">
      <c r="A22" s="114" t="s">
        <v>21</v>
      </c>
      <c r="B22" s="114" t="s">
        <v>9</v>
      </c>
      <c r="C22" s="79" t="s">
        <v>17</v>
      </c>
      <c r="D22" s="79" t="s">
        <v>18</v>
      </c>
      <c r="E22" s="79" t="s">
        <v>22</v>
      </c>
      <c r="F22" s="79" t="s">
        <v>16</v>
      </c>
      <c r="G22" s="79" t="s">
        <v>16</v>
      </c>
      <c r="H22" s="79" t="s">
        <v>16</v>
      </c>
    </row>
    <row r="23" spans="1:8">
      <c r="A23" s="114" t="s">
        <v>21</v>
      </c>
      <c r="B23" s="114" t="s">
        <v>9</v>
      </c>
      <c r="C23" s="79" t="s">
        <v>17</v>
      </c>
      <c r="D23" s="79" t="s">
        <v>18</v>
      </c>
      <c r="E23" s="79" t="s">
        <v>22</v>
      </c>
      <c r="F23" s="79" t="s">
        <v>15</v>
      </c>
      <c r="G23" s="79" t="s">
        <v>19</v>
      </c>
      <c r="H23" s="79" t="s">
        <v>15</v>
      </c>
    </row>
    <row r="24" spans="1:8">
      <c r="A24" s="114" t="s">
        <v>8</v>
      </c>
      <c r="B24" s="114" t="s">
        <v>9</v>
      </c>
      <c r="C24" s="79" t="s">
        <v>14</v>
      </c>
      <c r="D24" s="79" t="s">
        <v>11</v>
      </c>
      <c r="E24" s="79" t="s">
        <v>22</v>
      </c>
      <c r="F24" s="79" t="s">
        <v>15</v>
      </c>
      <c r="G24" s="79" t="s">
        <v>15</v>
      </c>
      <c r="H24" s="79" t="s">
        <v>19</v>
      </c>
    </row>
    <row r="25" spans="1:8">
      <c r="A25" s="114" t="s">
        <v>8</v>
      </c>
      <c r="B25" s="114" t="s">
        <v>9</v>
      </c>
      <c r="C25" s="79" t="s">
        <v>17</v>
      </c>
      <c r="D25" s="79" t="s">
        <v>18</v>
      </c>
      <c r="E25" s="79" t="s">
        <v>12</v>
      </c>
      <c r="F25" s="79" t="s">
        <v>19</v>
      </c>
      <c r="G25" s="79" t="s">
        <v>20</v>
      </c>
      <c r="H25" s="79" t="s">
        <v>20</v>
      </c>
    </row>
    <row r="26" spans="1:8">
      <c r="A26" s="114" t="s">
        <v>8</v>
      </c>
      <c r="B26" s="114" t="s">
        <v>9</v>
      </c>
      <c r="C26" s="79" t="s">
        <v>14</v>
      </c>
      <c r="D26" s="79" t="s">
        <v>18</v>
      </c>
      <c r="E26" s="79" t="s">
        <v>12</v>
      </c>
      <c r="F26" s="79" t="s">
        <v>23</v>
      </c>
      <c r="G26" s="79" t="s">
        <v>15</v>
      </c>
      <c r="H26" s="79" t="s">
        <v>15</v>
      </c>
    </row>
    <row r="27" spans="1:8">
      <c r="A27" s="114" t="s">
        <v>8</v>
      </c>
      <c r="B27" s="114" t="s">
        <v>9</v>
      </c>
      <c r="C27" s="79" t="s">
        <v>17</v>
      </c>
      <c r="D27" s="79" t="s">
        <v>18</v>
      </c>
      <c r="E27" s="79" t="s">
        <v>22</v>
      </c>
      <c r="F27" s="79" t="s">
        <v>16</v>
      </c>
      <c r="G27" s="79" t="s">
        <v>16</v>
      </c>
      <c r="H27" s="79" t="s">
        <v>16</v>
      </c>
    </row>
    <row r="28" spans="1:8">
      <c r="A28" s="114" t="s">
        <v>8</v>
      </c>
      <c r="B28" s="114" t="s">
        <v>9</v>
      </c>
      <c r="C28" s="79" t="s">
        <v>17</v>
      </c>
      <c r="D28" s="79" t="s">
        <v>18</v>
      </c>
      <c r="E28" s="79" t="s">
        <v>22</v>
      </c>
      <c r="F28" s="79" t="s">
        <v>15</v>
      </c>
      <c r="G28" s="79" t="s">
        <v>19</v>
      </c>
      <c r="H28" s="79" t="s">
        <v>15</v>
      </c>
    </row>
    <row r="29" spans="1:8">
      <c r="A29" s="114" t="s">
        <v>8</v>
      </c>
      <c r="B29" s="114" t="s">
        <v>9</v>
      </c>
      <c r="C29" s="79" t="s">
        <v>14</v>
      </c>
      <c r="D29" s="79" t="s">
        <v>11</v>
      </c>
      <c r="E29" s="79" t="s">
        <v>12</v>
      </c>
      <c r="F29" s="79" t="s">
        <v>13</v>
      </c>
      <c r="G29" s="79" t="s">
        <v>15</v>
      </c>
      <c r="H29" s="79" t="s">
        <v>16</v>
      </c>
    </row>
    <row r="30" spans="1:8">
      <c r="A30" s="114" t="s">
        <v>21</v>
      </c>
      <c r="B30" s="114" t="s">
        <v>9</v>
      </c>
      <c r="C30" s="79" t="s">
        <v>17</v>
      </c>
      <c r="D30" s="79" t="s">
        <v>18</v>
      </c>
      <c r="E30" s="79" t="s">
        <v>12</v>
      </c>
      <c r="F30" s="79" t="s">
        <v>13</v>
      </c>
      <c r="G30" s="79" t="s">
        <v>13</v>
      </c>
      <c r="H30" s="79" t="s">
        <v>13</v>
      </c>
    </row>
    <row r="31" spans="1:8">
      <c r="A31" s="114" t="s">
        <v>21</v>
      </c>
      <c r="B31" s="114" t="s">
        <v>9</v>
      </c>
      <c r="C31" s="79" t="s">
        <v>14</v>
      </c>
      <c r="D31" s="79" t="s">
        <v>11</v>
      </c>
      <c r="E31" s="79" t="s">
        <v>12</v>
      </c>
      <c r="F31" s="79" t="s">
        <v>15</v>
      </c>
      <c r="G31" s="79" t="s">
        <v>15</v>
      </c>
      <c r="H31" s="79" t="s">
        <v>15</v>
      </c>
    </row>
    <row r="32" spans="1:8">
      <c r="A32" s="114" t="s">
        <v>8</v>
      </c>
      <c r="B32" s="114" t="s">
        <v>9</v>
      </c>
      <c r="C32" s="79" t="s">
        <v>14</v>
      </c>
      <c r="D32" s="79" t="s">
        <v>11</v>
      </c>
      <c r="E32" s="79" t="s">
        <v>22</v>
      </c>
      <c r="F32" s="79" t="s">
        <v>13</v>
      </c>
      <c r="G32" s="79" t="s">
        <v>13</v>
      </c>
      <c r="H32" s="79" t="s">
        <v>19</v>
      </c>
    </row>
    <row r="33" spans="1:8">
      <c r="A33" s="114" t="s">
        <v>21</v>
      </c>
      <c r="B33" s="114" t="s">
        <v>9</v>
      </c>
      <c r="C33" s="79" t="s">
        <v>17</v>
      </c>
      <c r="D33" s="79" t="s">
        <v>18</v>
      </c>
      <c r="E33" s="79" t="s">
        <v>22</v>
      </c>
      <c r="F33" s="79" t="s">
        <v>19</v>
      </c>
      <c r="G33" s="79" t="s">
        <v>20</v>
      </c>
      <c r="H33" s="79" t="s">
        <v>20</v>
      </c>
    </row>
    <row r="34" spans="1:8">
      <c r="A34" s="114" t="s">
        <v>8</v>
      </c>
      <c r="B34" s="114" t="s">
        <v>9</v>
      </c>
      <c r="C34" s="79" t="s">
        <v>14</v>
      </c>
      <c r="D34" s="79" t="s">
        <v>11</v>
      </c>
      <c r="E34" s="79" t="s">
        <v>12</v>
      </c>
      <c r="F34" s="79" t="s">
        <v>13</v>
      </c>
      <c r="G34" s="79" t="s">
        <v>15</v>
      </c>
      <c r="H34" s="79" t="s">
        <v>13</v>
      </c>
    </row>
    <row r="35" spans="1:8">
      <c r="A35" s="114" t="s">
        <v>21</v>
      </c>
      <c r="B35" s="114" t="s">
        <v>9</v>
      </c>
      <c r="C35" s="79" t="s">
        <v>14</v>
      </c>
      <c r="D35" s="79" t="s">
        <v>11</v>
      </c>
      <c r="E35" s="79" t="s">
        <v>22</v>
      </c>
      <c r="F35" s="79" t="s">
        <v>23</v>
      </c>
      <c r="G35" s="79" t="s">
        <v>23</v>
      </c>
      <c r="H35" s="79" t="s">
        <v>23</v>
      </c>
    </row>
    <row r="36" spans="1:8">
      <c r="A36" s="114" t="s">
        <v>21</v>
      </c>
      <c r="B36" s="114" t="s">
        <v>9</v>
      </c>
      <c r="C36" s="79" t="s">
        <v>10</v>
      </c>
      <c r="D36" s="79" t="s">
        <v>18</v>
      </c>
      <c r="E36" s="79" t="s">
        <v>22</v>
      </c>
      <c r="F36" s="79" t="s">
        <v>16</v>
      </c>
      <c r="G36" s="79" t="s">
        <v>15</v>
      </c>
      <c r="H36" s="79" t="s">
        <v>15</v>
      </c>
    </row>
    <row r="37" spans="1:8">
      <c r="A37" s="114" t="s">
        <v>8</v>
      </c>
      <c r="B37" s="114" t="s">
        <v>9</v>
      </c>
      <c r="C37" s="79" t="s">
        <v>14</v>
      </c>
      <c r="D37" s="79" t="s">
        <v>11</v>
      </c>
      <c r="E37" s="79" t="s">
        <v>12</v>
      </c>
      <c r="F37" s="79" t="s">
        <v>13</v>
      </c>
      <c r="G37" s="79" t="s">
        <v>13</v>
      </c>
      <c r="H37" s="79" t="s">
        <v>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zoomScale="90" zoomScaleNormal="90" workbookViewId="0">
      <selection activeCell="B18" sqref="B18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21</v>
      </c>
      <c r="B2" s="79" t="s">
        <v>9</v>
      </c>
      <c r="C2" s="79" t="s">
        <v>13</v>
      </c>
      <c r="D2" s="79" t="s">
        <v>13</v>
      </c>
      <c r="E2" s="79" t="s">
        <v>13</v>
      </c>
      <c r="F2" s="79" t="s">
        <v>13</v>
      </c>
      <c r="G2" s="79" t="s">
        <v>13</v>
      </c>
      <c r="H2" s="79" t="s">
        <v>13</v>
      </c>
      <c r="I2" s="79" t="s">
        <v>13</v>
      </c>
      <c r="J2" s="79" t="s">
        <v>13</v>
      </c>
      <c r="K2" s="79" t="s">
        <v>13</v>
      </c>
      <c r="L2" s="79" t="s">
        <v>13</v>
      </c>
    </row>
    <row r="3" spans="1:12">
      <c r="A3" s="79" t="s">
        <v>21</v>
      </c>
      <c r="B3" s="79" t="s">
        <v>9</v>
      </c>
      <c r="C3" s="79" t="s">
        <v>13</v>
      </c>
      <c r="D3" s="79" t="s">
        <v>13</v>
      </c>
      <c r="E3" s="79" t="s">
        <v>13</v>
      </c>
      <c r="F3" s="79" t="s">
        <v>13</v>
      </c>
      <c r="G3" s="79" t="s">
        <v>13</v>
      </c>
      <c r="H3" s="79" t="s">
        <v>13</v>
      </c>
      <c r="I3" s="79" t="s">
        <v>13</v>
      </c>
      <c r="J3" s="79" t="s">
        <v>13</v>
      </c>
      <c r="K3" s="79" t="s">
        <v>13</v>
      </c>
      <c r="L3" s="79" t="s">
        <v>13</v>
      </c>
    </row>
    <row r="4" spans="1:12">
      <c r="A4" s="79" t="s">
        <v>8</v>
      </c>
      <c r="B4" s="79" t="s">
        <v>9</v>
      </c>
      <c r="C4" s="79" t="s">
        <v>13</v>
      </c>
      <c r="D4" s="79" t="s">
        <v>15</v>
      </c>
      <c r="E4" s="79" t="s">
        <v>15</v>
      </c>
      <c r="F4" s="79" t="s">
        <v>23</v>
      </c>
      <c r="G4" s="79" t="s">
        <v>13</v>
      </c>
      <c r="H4" s="79" t="s">
        <v>13</v>
      </c>
      <c r="I4" s="79" t="s">
        <v>13</v>
      </c>
      <c r="J4" s="79" t="s">
        <v>13</v>
      </c>
      <c r="K4" s="79" t="s">
        <v>13</v>
      </c>
      <c r="L4" s="79" t="s">
        <v>23</v>
      </c>
    </row>
    <row r="5" spans="1:12">
      <c r="A5" s="79" t="s">
        <v>21</v>
      </c>
      <c r="B5" s="79" t="s">
        <v>9</v>
      </c>
      <c r="C5" s="79" t="s">
        <v>13</v>
      </c>
      <c r="D5" s="79" t="s">
        <v>13</v>
      </c>
      <c r="E5" s="79" t="s">
        <v>13</v>
      </c>
      <c r="F5" s="79" t="s">
        <v>13</v>
      </c>
      <c r="G5" s="79" t="s">
        <v>13</v>
      </c>
      <c r="H5" s="79" t="s">
        <v>13</v>
      </c>
      <c r="I5" s="79" t="s">
        <v>15</v>
      </c>
      <c r="J5" s="79" t="s">
        <v>13</v>
      </c>
      <c r="K5" s="79" t="s">
        <v>15</v>
      </c>
      <c r="L5" s="79" t="s">
        <v>15</v>
      </c>
    </row>
    <row r="6" spans="1:12">
      <c r="A6" s="79" t="s">
        <v>21</v>
      </c>
      <c r="B6" s="79" t="s">
        <v>9</v>
      </c>
      <c r="C6" s="79" t="s">
        <v>13</v>
      </c>
      <c r="D6" s="79" t="s">
        <v>13</v>
      </c>
      <c r="E6" s="79" t="s">
        <v>15</v>
      </c>
      <c r="F6" s="79" t="s">
        <v>13</v>
      </c>
      <c r="G6" s="79" t="s">
        <v>13</v>
      </c>
      <c r="H6" s="79" t="s">
        <v>13</v>
      </c>
      <c r="I6" s="79" t="s">
        <v>15</v>
      </c>
      <c r="J6" s="79" t="s">
        <v>19</v>
      </c>
      <c r="K6" s="79" t="s">
        <v>15</v>
      </c>
      <c r="L6" s="79" t="s">
        <v>19</v>
      </c>
    </row>
    <row r="7" spans="1:12">
      <c r="A7" s="79" t="s">
        <v>8</v>
      </c>
      <c r="B7" s="79" t="s">
        <v>9</v>
      </c>
      <c r="C7" s="79" t="s">
        <v>13</v>
      </c>
      <c r="D7" s="79" t="s">
        <v>13</v>
      </c>
      <c r="E7" s="79" t="s">
        <v>13</v>
      </c>
      <c r="F7" s="79" t="s">
        <v>15</v>
      </c>
      <c r="G7" s="79" t="s">
        <v>13</v>
      </c>
      <c r="H7" s="79" t="s">
        <v>13</v>
      </c>
      <c r="I7" s="79" t="s">
        <v>23</v>
      </c>
      <c r="J7" s="79" t="s">
        <v>13</v>
      </c>
      <c r="K7" s="79" t="s">
        <v>13</v>
      </c>
      <c r="L7" s="79" t="s">
        <v>13</v>
      </c>
    </row>
    <row r="8" spans="1:12">
      <c r="A8" s="79" t="s">
        <v>21</v>
      </c>
      <c r="B8" s="79" t="s">
        <v>9</v>
      </c>
      <c r="C8" s="79" t="s">
        <v>13</v>
      </c>
      <c r="D8" s="79" t="s">
        <v>13</v>
      </c>
      <c r="E8" s="79" t="s">
        <v>13</v>
      </c>
      <c r="F8" s="79" t="s">
        <v>13</v>
      </c>
      <c r="G8" s="79" t="s">
        <v>13</v>
      </c>
      <c r="H8" s="79" t="s">
        <v>13</v>
      </c>
      <c r="I8" s="79" t="s">
        <v>13</v>
      </c>
      <c r="J8" s="79" t="s">
        <v>13</v>
      </c>
      <c r="K8" s="79" t="s">
        <v>13</v>
      </c>
      <c r="L8" s="79" t="s">
        <v>13</v>
      </c>
    </row>
    <row r="9" spans="1:12">
      <c r="A9" s="79" t="s">
        <v>21</v>
      </c>
      <c r="B9" s="79" t="s">
        <v>9</v>
      </c>
      <c r="C9" s="79" t="s">
        <v>13</v>
      </c>
      <c r="D9" s="79" t="s">
        <v>15</v>
      </c>
      <c r="E9" s="79" t="s">
        <v>13</v>
      </c>
      <c r="F9" s="79" t="s">
        <v>19</v>
      </c>
      <c r="G9" s="79" t="s">
        <v>15</v>
      </c>
      <c r="H9" s="79" t="s">
        <v>19</v>
      </c>
      <c r="I9" s="79" t="s">
        <v>15</v>
      </c>
      <c r="J9" s="79" t="s">
        <v>15</v>
      </c>
      <c r="K9" s="79" t="s">
        <v>15</v>
      </c>
      <c r="L9" s="79" t="s">
        <v>15</v>
      </c>
    </row>
    <row r="10" spans="1:12">
      <c r="A10" s="79" t="s">
        <v>8</v>
      </c>
      <c r="B10" s="79" t="s">
        <v>9</v>
      </c>
      <c r="C10" s="79" t="s">
        <v>13</v>
      </c>
      <c r="D10" s="79" t="s">
        <v>13</v>
      </c>
      <c r="E10" s="79" t="s">
        <v>23</v>
      </c>
      <c r="F10" s="79" t="s">
        <v>13</v>
      </c>
      <c r="G10" s="79" t="s">
        <v>13</v>
      </c>
      <c r="H10" s="79" t="s">
        <v>13</v>
      </c>
      <c r="I10" s="79" t="s">
        <v>13</v>
      </c>
      <c r="J10" s="79" t="s">
        <v>13</v>
      </c>
      <c r="K10" s="79" t="s">
        <v>13</v>
      </c>
      <c r="L10" s="79" t="s">
        <v>13</v>
      </c>
    </row>
    <row r="11" spans="1:12">
      <c r="A11" s="79" t="s">
        <v>21</v>
      </c>
      <c r="B11" s="79" t="s">
        <v>9</v>
      </c>
      <c r="C11" s="79" t="s">
        <v>13</v>
      </c>
      <c r="D11" s="79" t="s">
        <v>19</v>
      </c>
      <c r="E11" s="79" t="s">
        <v>15</v>
      </c>
      <c r="F11" s="79" t="s">
        <v>15</v>
      </c>
      <c r="G11" s="79" t="s">
        <v>13</v>
      </c>
      <c r="H11" s="79" t="s">
        <v>13</v>
      </c>
      <c r="I11" s="79" t="s">
        <v>23</v>
      </c>
      <c r="J11" s="79" t="s">
        <v>13</v>
      </c>
      <c r="K11" s="79" t="s">
        <v>13</v>
      </c>
      <c r="L11" s="79" t="s">
        <v>13</v>
      </c>
    </row>
    <row r="12" spans="1:12">
      <c r="A12" s="79" t="s">
        <v>21</v>
      </c>
      <c r="B12" s="79" t="s">
        <v>9</v>
      </c>
      <c r="C12" s="79" t="s">
        <v>23</v>
      </c>
      <c r="D12" s="79" t="s">
        <v>23</v>
      </c>
      <c r="E12" s="79" t="s">
        <v>23</v>
      </c>
      <c r="F12" s="79" t="s">
        <v>23</v>
      </c>
      <c r="G12" s="79" t="s">
        <v>23</v>
      </c>
      <c r="H12" s="79" t="s">
        <v>23</v>
      </c>
      <c r="I12" s="79" t="s">
        <v>13</v>
      </c>
      <c r="J12" s="79" t="s">
        <v>23</v>
      </c>
      <c r="K12" s="79" t="s">
        <v>13</v>
      </c>
      <c r="L12" s="79" t="s">
        <v>13</v>
      </c>
    </row>
    <row r="13" spans="1:12">
      <c r="A13" s="79" t="s">
        <v>21</v>
      </c>
      <c r="B13" s="79" t="s">
        <v>9</v>
      </c>
      <c r="C13" s="79" t="s">
        <v>23</v>
      </c>
      <c r="D13" s="79" t="s">
        <v>23</v>
      </c>
      <c r="E13" s="79" t="s">
        <v>23</v>
      </c>
      <c r="F13" s="79" t="s">
        <v>23</v>
      </c>
      <c r="G13" s="79" t="s">
        <v>23</v>
      </c>
      <c r="H13" s="79" t="s">
        <v>23</v>
      </c>
      <c r="I13" s="79" t="s">
        <v>23</v>
      </c>
      <c r="J13" s="79" t="s">
        <v>23</v>
      </c>
      <c r="K13" s="79" t="s">
        <v>23</v>
      </c>
      <c r="L13" s="79" t="s">
        <v>23</v>
      </c>
    </row>
    <row r="14" spans="1:12">
      <c r="A14" s="79" t="s">
        <v>8</v>
      </c>
      <c r="B14" s="79" t="s">
        <v>9</v>
      </c>
      <c r="C14" s="79" t="s">
        <v>16</v>
      </c>
      <c r="D14" s="79" t="s">
        <v>16</v>
      </c>
      <c r="E14" s="79" t="s">
        <v>16</v>
      </c>
      <c r="F14" s="79" t="s">
        <v>16</v>
      </c>
      <c r="G14" s="79" t="s">
        <v>16</v>
      </c>
      <c r="H14" s="79" t="s">
        <v>16</v>
      </c>
      <c r="I14" s="79" t="s">
        <v>16</v>
      </c>
      <c r="J14" s="79" t="s">
        <v>15</v>
      </c>
      <c r="K14" s="79" t="s">
        <v>15</v>
      </c>
      <c r="L14" s="79" t="s">
        <v>15</v>
      </c>
    </row>
    <row r="15" spans="1:12">
      <c r="A15" s="79" t="s">
        <v>21</v>
      </c>
      <c r="B15" s="79" t="s">
        <v>9</v>
      </c>
      <c r="C15" s="79" t="s">
        <v>16</v>
      </c>
      <c r="D15" s="79" t="s">
        <v>19</v>
      </c>
      <c r="E15" s="79" t="s">
        <v>16</v>
      </c>
      <c r="F15" s="79" t="s">
        <v>16</v>
      </c>
      <c r="G15" s="79" t="s">
        <v>16</v>
      </c>
      <c r="H15" s="79" t="s">
        <v>16</v>
      </c>
      <c r="I15" s="79" t="s">
        <v>16</v>
      </c>
      <c r="J15" s="79" t="s">
        <v>16</v>
      </c>
      <c r="K15" s="79" t="s">
        <v>16</v>
      </c>
      <c r="L15" s="79" t="s">
        <v>16</v>
      </c>
    </row>
    <row r="16" spans="1:12">
      <c r="A16" s="79" t="s">
        <v>8</v>
      </c>
      <c r="B16" s="79" t="s">
        <v>9</v>
      </c>
      <c r="C16" s="79" t="s">
        <v>16</v>
      </c>
      <c r="D16" s="79" t="s">
        <v>20</v>
      </c>
      <c r="E16" s="79" t="s">
        <v>20</v>
      </c>
      <c r="F16" s="79" t="s">
        <v>20</v>
      </c>
      <c r="G16" s="79" t="s">
        <v>20</v>
      </c>
      <c r="H16" s="79" t="s">
        <v>13</v>
      </c>
      <c r="I16" s="79" t="s">
        <v>16</v>
      </c>
      <c r="J16" s="79" t="s">
        <v>13</v>
      </c>
      <c r="K16" s="79" t="s">
        <v>13</v>
      </c>
      <c r="L16" s="79" t="s">
        <v>13</v>
      </c>
    </row>
    <row r="17" spans="1:12">
      <c r="A17" s="79" t="s">
        <v>8</v>
      </c>
      <c r="B17" s="79" t="s">
        <v>9</v>
      </c>
      <c r="C17" s="79" t="s">
        <v>16</v>
      </c>
      <c r="D17" s="79" t="s">
        <v>16</v>
      </c>
      <c r="E17" s="79" t="s">
        <v>16</v>
      </c>
      <c r="F17" s="79" t="s">
        <v>16</v>
      </c>
      <c r="G17" s="79" t="s">
        <v>16</v>
      </c>
      <c r="H17" s="79" t="s">
        <v>16</v>
      </c>
      <c r="I17" s="79" t="s">
        <v>16</v>
      </c>
      <c r="J17" s="79" t="s">
        <v>15</v>
      </c>
      <c r="K17" s="79" t="s">
        <v>19</v>
      </c>
      <c r="L17" s="79" t="s">
        <v>16</v>
      </c>
    </row>
    <row r="18" spans="1:12">
      <c r="A18" s="79" t="s">
        <v>8</v>
      </c>
      <c r="B18" s="79" t="s">
        <v>9</v>
      </c>
      <c r="C18" s="79" t="s">
        <v>20</v>
      </c>
      <c r="D18" s="79" t="s">
        <v>20</v>
      </c>
      <c r="E18" s="79" t="s">
        <v>19</v>
      </c>
      <c r="F18" s="79" t="s">
        <v>20</v>
      </c>
      <c r="G18" s="79" t="s">
        <v>20</v>
      </c>
      <c r="H18" s="79" t="s">
        <v>15</v>
      </c>
      <c r="I18" s="79" t="s">
        <v>20</v>
      </c>
      <c r="J18" s="79" t="s">
        <v>19</v>
      </c>
      <c r="K18" s="79" t="s">
        <v>15</v>
      </c>
      <c r="L18" s="79" t="s">
        <v>20</v>
      </c>
    </row>
    <row r="19" spans="1:12">
      <c r="A19" s="79" t="s">
        <v>8</v>
      </c>
      <c r="B19" s="79" t="s">
        <v>9</v>
      </c>
      <c r="C19" s="79" t="s">
        <v>15</v>
      </c>
      <c r="D19" s="79" t="s">
        <v>15</v>
      </c>
      <c r="E19" s="79" t="s">
        <v>16</v>
      </c>
      <c r="F19" s="79" t="s">
        <v>16</v>
      </c>
      <c r="G19" s="79" t="s">
        <v>16</v>
      </c>
      <c r="H19" s="79" t="s">
        <v>16</v>
      </c>
      <c r="I19" s="79" t="s">
        <v>16</v>
      </c>
      <c r="J19" s="79" t="s">
        <v>16</v>
      </c>
      <c r="K19" s="79" t="s">
        <v>16</v>
      </c>
      <c r="L19" s="79" t="s">
        <v>16</v>
      </c>
    </row>
    <row r="20" spans="1:12">
      <c r="A20" s="79" t="s">
        <v>21</v>
      </c>
      <c r="B20" s="79" t="s">
        <v>9</v>
      </c>
      <c r="C20" s="79" t="s">
        <v>15</v>
      </c>
      <c r="D20" s="79" t="s">
        <v>19</v>
      </c>
      <c r="E20" s="79" t="s">
        <v>23</v>
      </c>
      <c r="F20" s="79" t="s">
        <v>15</v>
      </c>
      <c r="G20" s="79" t="s">
        <v>13</v>
      </c>
      <c r="H20" s="79" t="s">
        <v>13</v>
      </c>
      <c r="I20" s="79" t="s">
        <v>13</v>
      </c>
      <c r="J20" s="79" t="s">
        <v>23</v>
      </c>
      <c r="K20" s="79" t="s">
        <v>23</v>
      </c>
      <c r="L20" s="79" t="s">
        <v>23</v>
      </c>
    </row>
    <row r="21" spans="1:12">
      <c r="A21" s="79" t="s">
        <v>8</v>
      </c>
      <c r="B21" s="79" t="s">
        <v>9</v>
      </c>
      <c r="C21" s="79" t="s">
        <v>15</v>
      </c>
      <c r="D21" s="79" t="s">
        <v>13</v>
      </c>
      <c r="E21" s="79" t="s">
        <v>15</v>
      </c>
      <c r="F21" s="79" t="s">
        <v>15</v>
      </c>
      <c r="G21" s="79" t="s">
        <v>15</v>
      </c>
      <c r="H21" s="79" t="s">
        <v>13</v>
      </c>
      <c r="I21" s="79" t="s">
        <v>15</v>
      </c>
      <c r="J21" s="79" t="s">
        <v>23</v>
      </c>
      <c r="K21" s="79" t="s">
        <v>19</v>
      </c>
      <c r="L21" s="79" t="s">
        <v>13</v>
      </c>
    </row>
    <row r="22" spans="1:12">
      <c r="A22" s="79" t="s">
        <v>8</v>
      </c>
      <c r="B22" s="79" t="s">
        <v>9</v>
      </c>
      <c r="C22" s="79" t="s">
        <v>15</v>
      </c>
      <c r="D22" s="79" t="s">
        <v>15</v>
      </c>
      <c r="E22" s="79" t="s">
        <v>15</v>
      </c>
      <c r="F22" s="79" t="s">
        <v>19</v>
      </c>
      <c r="G22" s="79" t="s">
        <v>19</v>
      </c>
      <c r="H22" s="79" t="s">
        <v>13</v>
      </c>
      <c r="I22" s="79" t="s">
        <v>13</v>
      </c>
      <c r="J22" s="79" t="s">
        <v>13</v>
      </c>
      <c r="K22" s="79" t="s">
        <v>13</v>
      </c>
      <c r="L22" s="79" t="s">
        <v>15</v>
      </c>
    </row>
    <row r="23" spans="1:12">
      <c r="A23" s="79" t="s">
        <v>21</v>
      </c>
      <c r="B23" s="79" t="s">
        <v>9</v>
      </c>
      <c r="C23" s="79" t="s">
        <v>15</v>
      </c>
      <c r="D23" s="79" t="s">
        <v>15</v>
      </c>
      <c r="E23" s="79" t="s">
        <v>15</v>
      </c>
      <c r="F23" s="79" t="s">
        <v>15</v>
      </c>
      <c r="G23" s="79" t="s">
        <v>15</v>
      </c>
      <c r="H23" s="79" t="s">
        <v>15</v>
      </c>
      <c r="I23" s="79" t="s">
        <v>15</v>
      </c>
      <c r="J23" s="79" t="s">
        <v>15</v>
      </c>
      <c r="K23" s="79" t="s">
        <v>15</v>
      </c>
      <c r="L23" s="79" t="s">
        <v>15</v>
      </c>
    </row>
    <row r="24" spans="1:12">
      <c r="A24" s="79" t="s">
        <v>21</v>
      </c>
      <c r="B24" s="79" t="s">
        <v>9</v>
      </c>
      <c r="C24" s="79" t="s">
        <v>15</v>
      </c>
      <c r="D24" s="79" t="s">
        <v>20</v>
      </c>
      <c r="E24" s="79" t="s">
        <v>16</v>
      </c>
      <c r="F24" s="79" t="s">
        <v>15</v>
      </c>
      <c r="G24" s="79" t="s">
        <v>13</v>
      </c>
      <c r="H24" s="79" t="s">
        <v>13</v>
      </c>
      <c r="I24" s="79" t="s">
        <v>16</v>
      </c>
      <c r="J24" s="79" t="s">
        <v>15</v>
      </c>
      <c r="K24" s="79" t="s">
        <v>19</v>
      </c>
      <c r="L24" s="79" t="s">
        <v>19</v>
      </c>
    </row>
    <row r="25" spans="1:12">
      <c r="A25" s="79" t="s">
        <v>8</v>
      </c>
      <c r="B25" s="79" t="s">
        <v>9</v>
      </c>
      <c r="C25" s="79" t="s">
        <v>15</v>
      </c>
      <c r="D25" s="79" t="s">
        <v>19</v>
      </c>
      <c r="E25" s="79" t="s">
        <v>15</v>
      </c>
      <c r="F25" s="79" t="s">
        <v>20</v>
      </c>
      <c r="G25" s="79" t="s">
        <v>20</v>
      </c>
      <c r="H25" s="79" t="s">
        <v>19</v>
      </c>
      <c r="I25" s="79" t="s">
        <v>16</v>
      </c>
      <c r="J25" s="79" t="s">
        <v>20</v>
      </c>
      <c r="K25" s="79" t="s">
        <v>20</v>
      </c>
      <c r="L25" s="79" t="s">
        <v>20</v>
      </c>
    </row>
    <row r="26" spans="1:12">
      <c r="A26" s="79" t="s">
        <v>8</v>
      </c>
      <c r="B26" s="79" t="s">
        <v>9</v>
      </c>
      <c r="C26" s="79" t="s">
        <v>15</v>
      </c>
      <c r="D26" s="79" t="s">
        <v>20</v>
      </c>
      <c r="E26" s="79" t="s">
        <v>13</v>
      </c>
      <c r="F26" s="79" t="s">
        <v>19</v>
      </c>
      <c r="G26" s="79" t="s">
        <v>13</v>
      </c>
      <c r="H26" s="79" t="s">
        <v>13</v>
      </c>
      <c r="I26" s="79" t="s">
        <v>15</v>
      </c>
      <c r="J26" s="79" t="s">
        <v>15</v>
      </c>
      <c r="K26" s="79" t="s">
        <v>15</v>
      </c>
      <c r="L26" s="79" t="s">
        <v>15</v>
      </c>
    </row>
    <row r="27" spans="1:12">
      <c r="A27" s="79" t="s">
        <v>8</v>
      </c>
      <c r="B27" s="79" t="s">
        <v>9</v>
      </c>
      <c r="C27" s="79" t="s">
        <v>15</v>
      </c>
      <c r="D27" s="79" t="s">
        <v>13</v>
      </c>
      <c r="E27" s="79" t="s">
        <v>15</v>
      </c>
      <c r="F27" s="79" t="s">
        <v>19</v>
      </c>
      <c r="G27" s="79" t="s">
        <v>15</v>
      </c>
      <c r="H27" s="79" t="s">
        <v>13</v>
      </c>
      <c r="I27" s="79" t="s">
        <v>15</v>
      </c>
      <c r="J27" s="79" t="s">
        <v>15</v>
      </c>
      <c r="K27" s="79" t="s">
        <v>13</v>
      </c>
      <c r="L27" s="79" t="s">
        <v>15</v>
      </c>
    </row>
    <row r="28" spans="1:12">
      <c r="A28" s="79" t="s">
        <v>8</v>
      </c>
      <c r="B28" s="79" t="s">
        <v>9</v>
      </c>
      <c r="C28" s="79" t="s">
        <v>15</v>
      </c>
      <c r="D28" s="79" t="s">
        <v>15</v>
      </c>
      <c r="E28" s="79" t="s">
        <v>13</v>
      </c>
      <c r="F28" s="79" t="s">
        <v>15</v>
      </c>
      <c r="G28" s="79" t="s">
        <v>15</v>
      </c>
      <c r="H28" s="79" t="s">
        <v>13</v>
      </c>
      <c r="I28" s="79" t="s">
        <v>13</v>
      </c>
      <c r="J28" s="79" t="s">
        <v>15</v>
      </c>
      <c r="K28" s="79" t="s">
        <v>15</v>
      </c>
      <c r="L28" s="79" t="s">
        <v>15</v>
      </c>
    </row>
    <row r="29" spans="1:12">
      <c r="A29" s="79" t="s">
        <v>8</v>
      </c>
      <c r="B29" s="79" t="s">
        <v>9</v>
      </c>
      <c r="C29" s="79" t="s">
        <v>15</v>
      </c>
      <c r="D29" s="79" t="s">
        <v>19</v>
      </c>
      <c r="E29" s="79" t="s">
        <v>15</v>
      </c>
      <c r="F29" s="79" t="s">
        <v>19</v>
      </c>
      <c r="G29" s="79" t="s">
        <v>19</v>
      </c>
      <c r="H29" s="79" t="s">
        <v>15</v>
      </c>
      <c r="I29" s="79" t="s">
        <v>15</v>
      </c>
      <c r="J29" s="79" t="s">
        <v>15</v>
      </c>
      <c r="K29" s="79" t="s">
        <v>13</v>
      </c>
      <c r="L29" s="79" t="s">
        <v>13</v>
      </c>
    </row>
    <row r="30" spans="1:12">
      <c r="A30" s="79" t="s">
        <v>8</v>
      </c>
      <c r="B30" s="79" t="s">
        <v>9</v>
      </c>
      <c r="C30" s="79" t="s">
        <v>15</v>
      </c>
      <c r="D30" s="79" t="s">
        <v>15</v>
      </c>
      <c r="E30" s="79" t="s">
        <v>13</v>
      </c>
      <c r="F30" s="79" t="s">
        <v>13</v>
      </c>
      <c r="G30" s="79" t="s">
        <v>15</v>
      </c>
      <c r="H30" s="79" t="s">
        <v>13</v>
      </c>
      <c r="I30" s="79" t="s">
        <v>19</v>
      </c>
      <c r="J30" s="79" t="s">
        <v>13</v>
      </c>
      <c r="K30" s="79" t="s">
        <v>15</v>
      </c>
      <c r="L30" s="79" t="s">
        <v>15</v>
      </c>
    </row>
    <row r="31" spans="1:12">
      <c r="A31" s="79" t="s">
        <v>8</v>
      </c>
      <c r="B31" s="79" t="s">
        <v>9</v>
      </c>
      <c r="C31" s="79" t="s">
        <v>15</v>
      </c>
      <c r="D31" s="79" t="s">
        <v>15</v>
      </c>
      <c r="E31" s="79" t="s">
        <v>15</v>
      </c>
      <c r="F31" s="79" t="s">
        <v>15</v>
      </c>
      <c r="G31" s="79" t="s">
        <v>15</v>
      </c>
      <c r="H31" s="79" t="s">
        <v>13</v>
      </c>
      <c r="I31" s="79" t="s">
        <v>13</v>
      </c>
      <c r="J31" s="79" t="s">
        <v>13</v>
      </c>
      <c r="K31" s="79" t="s">
        <v>13</v>
      </c>
      <c r="L31" s="79" t="s">
        <v>13</v>
      </c>
    </row>
    <row r="32" spans="1:12">
      <c r="A32" s="79" t="s">
        <v>8</v>
      </c>
      <c r="B32" s="79" t="s">
        <v>9</v>
      </c>
      <c r="C32" s="79" t="s">
        <v>15</v>
      </c>
      <c r="D32" s="79" t="s">
        <v>15</v>
      </c>
      <c r="E32" s="79" t="s">
        <v>13</v>
      </c>
      <c r="F32" s="79" t="s">
        <v>13</v>
      </c>
      <c r="G32" s="79" t="s">
        <v>15</v>
      </c>
      <c r="H32" s="79" t="s">
        <v>13</v>
      </c>
      <c r="I32" s="79" t="s">
        <v>13</v>
      </c>
      <c r="J32" s="79" t="s">
        <v>15</v>
      </c>
      <c r="K32" s="79" t="s">
        <v>15</v>
      </c>
      <c r="L32" s="79" t="s">
        <v>15</v>
      </c>
    </row>
    <row r="33" spans="1:12">
      <c r="A33" s="79" t="s">
        <v>8</v>
      </c>
      <c r="B33" s="79" t="s">
        <v>9</v>
      </c>
      <c r="C33" s="79" t="s">
        <v>19</v>
      </c>
      <c r="D33" s="79" t="s">
        <v>20</v>
      </c>
      <c r="E33" s="79" t="s">
        <v>19</v>
      </c>
      <c r="F33" s="79" t="s">
        <v>20</v>
      </c>
      <c r="G33" s="79" t="s">
        <v>15</v>
      </c>
      <c r="H33" s="79" t="s">
        <v>19</v>
      </c>
      <c r="I33" s="79" t="s">
        <v>16</v>
      </c>
      <c r="J33" s="79" t="s">
        <v>19</v>
      </c>
      <c r="K33" s="79" t="s">
        <v>19</v>
      </c>
      <c r="L33" s="79" t="s">
        <v>16</v>
      </c>
    </row>
    <row r="34" spans="1:12">
      <c r="A34" s="79" t="s">
        <v>8</v>
      </c>
      <c r="B34" s="79" t="s">
        <v>9</v>
      </c>
      <c r="C34" s="79" t="s">
        <v>19</v>
      </c>
      <c r="D34" s="79" t="s">
        <v>19</v>
      </c>
      <c r="E34" s="79" t="s">
        <v>16</v>
      </c>
      <c r="F34" s="79" t="s">
        <v>16</v>
      </c>
      <c r="G34" s="79" t="s">
        <v>16</v>
      </c>
      <c r="H34" s="79" t="s">
        <v>16</v>
      </c>
      <c r="I34" s="79" t="s">
        <v>16</v>
      </c>
      <c r="J34" s="79" t="s">
        <v>19</v>
      </c>
      <c r="K34" s="79" t="s">
        <v>20</v>
      </c>
      <c r="L34" s="79" t="s">
        <v>19</v>
      </c>
    </row>
    <row r="35" spans="1:12">
      <c r="A35" s="79" t="s">
        <v>21</v>
      </c>
      <c r="B35" s="79" t="s">
        <v>9</v>
      </c>
      <c r="C35" s="79" t="s">
        <v>19</v>
      </c>
      <c r="D35" s="79" t="s">
        <v>19</v>
      </c>
      <c r="E35" s="79" t="s">
        <v>16</v>
      </c>
      <c r="F35" s="79" t="s">
        <v>16</v>
      </c>
      <c r="G35" s="79" t="s">
        <v>15</v>
      </c>
      <c r="H35" s="79" t="s">
        <v>23</v>
      </c>
      <c r="I35" s="79" t="s">
        <v>15</v>
      </c>
      <c r="J35" s="79" t="s">
        <v>20</v>
      </c>
      <c r="K35" s="79" t="s">
        <v>23</v>
      </c>
      <c r="L35" s="79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D26" zoomScaleNormal="100" workbookViewId="0">
      <selection activeCell="A36" sqref="A36:XFD63"/>
    </sheetView>
  </sheetViews>
  <sheetFormatPr defaultRowHeight="15"/>
  <cols>
    <col min="1" max="1" width="21.42578125" style="54" customWidth="1"/>
    <col min="2" max="2" width="33.140625" style="54" customWidth="1"/>
    <col min="3" max="3" width="29.285156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21</v>
      </c>
      <c r="B26" s="87">
        <f>COUNTIF(Resp2[Vínculo],A26)</f>
        <v>16</v>
      </c>
      <c r="C26" s="87">
        <f>COUNTIF(Resp3[Vínculo],A26)</f>
        <v>14</v>
      </c>
      <c r="D26" s="87">
        <v>35</v>
      </c>
      <c r="E26" s="88">
        <f>ROUND(B26/$D26*100,3)</f>
        <v>45.713999999999999</v>
      </c>
      <c r="F26" s="88">
        <f>ROUND(C26/$D26*100,3)</f>
        <v>40</v>
      </c>
    </row>
    <row r="27" spans="1:15">
      <c r="A27" s="86" t="s">
        <v>8</v>
      </c>
      <c r="B27" s="87">
        <f>COUNTIF(Resp2[Vínculo],A27)</f>
        <v>20</v>
      </c>
      <c r="C27" s="87">
        <f>COUNTIF(Resp3[Vínculo],A27)</f>
        <v>20</v>
      </c>
      <c r="D27" s="87">
        <v>60</v>
      </c>
      <c r="E27" s="88">
        <f t="shared" ref="E27:E28" si="0">ROUND(B27/$D27*100,3)</f>
        <v>33.332999999999998</v>
      </c>
      <c r="F27" s="88">
        <f t="shared" ref="F27:F28" si="1">ROUND(C27/$D27*100,3)</f>
        <v>33.332999999999998</v>
      </c>
    </row>
    <row r="28" spans="1:15">
      <c r="A28" s="89" t="s">
        <v>65</v>
      </c>
      <c r="B28" s="87">
        <f>SUM(B26:B27)</f>
        <v>36</v>
      </c>
      <c r="C28" s="87">
        <f>SUM(C26:C27)</f>
        <v>34</v>
      </c>
      <c r="D28" s="87">
        <f>SUM(D26:D27)</f>
        <v>95</v>
      </c>
      <c r="E28" s="88">
        <f t="shared" si="0"/>
        <v>37.895000000000003</v>
      </c>
      <c r="F28" s="88">
        <f t="shared" si="1"/>
        <v>35.789000000000001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15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1709</v>
      </c>
      <c r="D6" s="9">
        <f>1724-SUM(D7:D11)</f>
        <v>1709</v>
      </c>
      <c r="E6" s="10">
        <f>1724-SUM(E7:E11)</f>
        <v>1694</v>
      </c>
      <c r="F6" s="25">
        <f>ROUND($E6/1724*100,2)</f>
        <v>98.26</v>
      </c>
    </row>
    <row r="7" spans="1:7">
      <c r="B7" s="9" t="s">
        <v>16</v>
      </c>
      <c r="C7" s="10">
        <f>COUNTIFS(Resp2[Vínculo],"tecnico",Resp2[2.06],B7)</f>
        <v>4</v>
      </c>
      <c r="D7" s="10">
        <f>COUNTIFS(Resp2[Vínculo],"docente",Resp2[2.06],B7)</f>
        <v>1</v>
      </c>
      <c r="E7" s="10">
        <f>COUNTIF(Resp2[2.06],B7)</f>
        <v>5</v>
      </c>
      <c r="F7" s="25">
        <f>ROUND($E7/1724*100,2)</f>
        <v>0.28999999999999998</v>
      </c>
      <c r="G7" s="25">
        <f>ROUND($E7/SUM($E$7:$E$11)*100,3)</f>
        <v>16.667000000000002</v>
      </c>
    </row>
    <row r="8" spans="1:7">
      <c r="B8" s="9" t="s">
        <v>20</v>
      </c>
      <c r="C8" s="10">
        <f>COUNTIFS(Resp2[Vínculo],"tecnico",Resp2[2.06],B8)</f>
        <v>1</v>
      </c>
      <c r="D8" s="10">
        <f>COUNTIFS(Resp2[Vínculo],"docente",Resp2[2.06],B8)</f>
        <v>0</v>
      </c>
      <c r="E8" s="10">
        <f>COUNTIF(Resp2[2.06],B8)</f>
        <v>1</v>
      </c>
      <c r="F8" s="25">
        <f t="shared" ref="F8:F12" si="0">ROUND($E8/1724*100,2)</f>
        <v>0.06</v>
      </c>
      <c r="G8" s="25">
        <f t="shared" ref="G8:G11" si="1">ROUND($E8/SUM($E$7:$E$11)*100,3)</f>
        <v>3.3330000000000002</v>
      </c>
    </row>
    <row r="9" spans="1:7">
      <c r="B9" s="9" t="s">
        <v>15</v>
      </c>
      <c r="C9" s="10">
        <f>COUNTIFS(Resp2[Vínculo],"tecnico",Resp2[2.06],B9)</f>
        <v>4</v>
      </c>
      <c r="D9" s="10">
        <f>COUNTIFS(Resp2[Vínculo],"docente",Resp2[2.06],B9)</f>
        <v>5</v>
      </c>
      <c r="E9" s="10">
        <f>COUNTIF(Resp2[2.06],B9)</f>
        <v>9</v>
      </c>
      <c r="F9" s="25">
        <f t="shared" si="0"/>
        <v>0.52</v>
      </c>
      <c r="G9" s="25">
        <f t="shared" si="1"/>
        <v>30</v>
      </c>
    </row>
    <row r="10" spans="1:7">
      <c r="B10" s="9" t="s">
        <v>13</v>
      </c>
      <c r="C10" s="10">
        <f>COUNTIFS(Resp2[Vínculo],"tecnico",Resp2[2.06],B10)</f>
        <v>4</v>
      </c>
      <c r="D10" s="10">
        <f>COUNTIFS(Resp2[Vínculo],"docente",Resp2[2.06],B10)</f>
        <v>8</v>
      </c>
      <c r="E10" s="10">
        <f>COUNTIF(Resp2[2.06],B10)</f>
        <v>12</v>
      </c>
      <c r="F10" s="25">
        <f t="shared" si="0"/>
        <v>0.7</v>
      </c>
      <c r="G10" s="25">
        <f t="shared" si="1"/>
        <v>40</v>
      </c>
    </row>
    <row r="11" spans="1:7">
      <c r="B11" s="26" t="s">
        <v>23</v>
      </c>
      <c r="C11" s="10">
        <f>COUNTIFS(Resp2[Vínculo],"tecnico",Resp2[2.06],B11)</f>
        <v>2</v>
      </c>
      <c r="D11" s="10">
        <f>COUNTIFS(Resp2[Vínculo],"docente",Resp2[2.06],B11)</f>
        <v>1</v>
      </c>
      <c r="E11" s="10">
        <f>COUNTIF(Resp2[2.06],B11)</f>
        <v>3</v>
      </c>
      <c r="F11" s="25">
        <f t="shared" si="0"/>
        <v>0.17</v>
      </c>
      <c r="G11" s="25">
        <f t="shared" si="1"/>
        <v>10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1457</v>
      </c>
      <c r="D6" s="9">
        <f>1470-SUM(D7:D11)</f>
        <v>1452</v>
      </c>
      <c r="E6" s="10">
        <f>1470-SUM(E7:E11)</f>
        <v>1439</v>
      </c>
      <c r="F6" s="25">
        <f>ROUND($E6/1470*100,2)</f>
        <v>97.89</v>
      </c>
    </row>
    <row r="7" spans="1:7">
      <c r="B7" s="9" t="s">
        <v>16</v>
      </c>
      <c r="C7" s="10">
        <f>COUNTIFS(Resp3[Vínculo],"tecnico",Resp3[3.01],B7)</f>
        <v>1</v>
      </c>
      <c r="D7" s="10">
        <f>COUNTIFS(Resp3[Vínculo],"docente",Resp3[3.01],B7)</f>
        <v>3</v>
      </c>
      <c r="E7" s="10">
        <f>COUNTIF(Resp3[3.01],B7)</f>
        <v>4</v>
      </c>
      <c r="F7" s="25">
        <f t="shared" ref="F7:F12" si="0">ROUND($E7/1470*100,2)</f>
        <v>0.27</v>
      </c>
      <c r="G7" s="25">
        <f>ROUND($E7/SUM($E$7:$E$11)*100,3)</f>
        <v>12.903</v>
      </c>
    </row>
    <row r="8" spans="1:7">
      <c r="B8" s="9" t="s">
        <v>20</v>
      </c>
      <c r="C8" s="10">
        <f>COUNTIFS(Resp3[Vínculo],"tecnico",Resp3[3.01],B8)</f>
        <v>0</v>
      </c>
      <c r="D8" s="10">
        <f>COUNTIFS(Resp3[Vínculo],"docente",Resp3[3.01],B8)</f>
        <v>1</v>
      </c>
      <c r="E8" s="10">
        <f>COUNTIF(Resp3[3.01],B8)</f>
        <v>1</v>
      </c>
      <c r="F8" s="25">
        <f t="shared" si="0"/>
        <v>7.0000000000000007E-2</v>
      </c>
      <c r="G8" s="25">
        <f t="shared" ref="G8:G11" si="1">ROUND($E8/SUM($E$7:$E$11)*100,3)</f>
        <v>3.226</v>
      </c>
    </row>
    <row r="9" spans="1:7">
      <c r="B9" s="9" t="s">
        <v>15</v>
      </c>
      <c r="C9" s="10">
        <f>COUNTIFS(Resp3[Vínculo],"tecnico",Resp3[3.01],B9)</f>
        <v>3</v>
      </c>
      <c r="D9" s="10">
        <f>COUNTIFS(Resp3[Vínculo],"docente",Resp3[3.01],B9)</f>
        <v>11</v>
      </c>
      <c r="E9" s="10">
        <f>COUNTIF(Resp3[3.01],B9)</f>
        <v>14</v>
      </c>
      <c r="F9" s="25">
        <f t="shared" si="0"/>
        <v>0.95</v>
      </c>
      <c r="G9" s="25">
        <f t="shared" si="1"/>
        <v>45.161000000000001</v>
      </c>
    </row>
    <row r="10" spans="1:7">
      <c r="B10" s="9" t="s">
        <v>13</v>
      </c>
      <c r="C10" s="10">
        <f>COUNTIFS(Resp3[Vínculo],"tecnico",Resp3[3.01],B10)</f>
        <v>7</v>
      </c>
      <c r="D10" s="10">
        <f>COUNTIFS(Resp3[Vínculo],"docente",Resp3[3.01],B10)</f>
        <v>3</v>
      </c>
      <c r="E10" s="10">
        <f>COUNTIF(Resp3[3.01],B10)</f>
        <v>10</v>
      </c>
      <c r="F10" s="25">
        <f t="shared" si="0"/>
        <v>0.68</v>
      </c>
      <c r="G10" s="25">
        <f t="shared" si="1"/>
        <v>32.258000000000003</v>
      </c>
    </row>
    <row r="11" spans="1:7">
      <c r="B11" s="26" t="s">
        <v>23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0.14000000000000001</v>
      </c>
      <c r="G11" s="25">
        <f t="shared" si="1"/>
        <v>6.452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90" zoomScaleNormal="90" workbookViewId="0">
      <selection activeCell="D34" sqref="D34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5</v>
      </c>
      <c r="D7" s="18">
        <f>COUNTIFS(Resp2[Vínculo],"docente",Resp2[2.01],C17)</f>
        <v>9</v>
      </c>
      <c r="E7" s="13">
        <f>COUNTIF(Resp2[2.01],C17)</f>
        <v>14</v>
      </c>
      <c r="F7" s="14">
        <f>ROUND($E7/$E$10*100,2)</f>
        <v>38.89</v>
      </c>
      <c r="G7" s="13">
        <f>ROUND($E7/SUM($E$7:$E$9)*100,2)</f>
        <v>38.89</v>
      </c>
    </row>
    <row r="8" spans="1:8" ht="15" customHeight="1">
      <c r="B8" s="18" t="s">
        <v>84</v>
      </c>
      <c r="C8" s="18">
        <f>COUNTIFS(Resp2[Vínculo],"tecnico",Resp2[2.01],C18)</f>
        <v>5</v>
      </c>
      <c r="D8" s="18">
        <f>COUNTIFS(Resp2[Vínculo],"docente",Resp2[2.01],C18)</f>
        <v>1</v>
      </c>
      <c r="E8" s="13">
        <f>COUNTIF(Resp2[2.01],C18)</f>
        <v>6</v>
      </c>
      <c r="F8" s="14">
        <f t="shared" ref="F8:F10" si="0">ROUND($E8/$E$10*100,2)</f>
        <v>16.670000000000002</v>
      </c>
      <c r="G8" s="13">
        <f>ROUND($E8/SUM($E$7:$E$9)*100,2)</f>
        <v>16.670000000000002</v>
      </c>
    </row>
    <row r="9" spans="1:8" ht="15" customHeight="1">
      <c r="B9" s="18" t="s">
        <v>94</v>
      </c>
      <c r="C9" s="18">
        <f>COUNTIFS(Resp2[Vínculo],"tecnico",Resp2[2.01],C19)</f>
        <v>6</v>
      </c>
      <c r="D9" s="95">
        <f>COUNTIFS(Resp2[Vínculo],"docente",Resp2[2.01],C19)</f>
        <v>10</v>
      </c>
      <c r="E9" s="96">
        <f>COUNTIF(Resp2[2.01],C19)</f>
        <v>16</v>
      </c>
      <c r="F9" s="97">
        <f t="shared" si="0"/>
        <v>44.44</v>
      </c>
      <c r="G9" s="96">
        <f>ROUND($E9/SUM($E$7:$E$9)*100,2)</f>
        <v>44.44</v>
      </c>
    </row>
    <row r="10" spans="1:8" ht="15" customHeight="1">
      <c r="B10" s="11" t="s">
        <v>167</v>
      </c>
      <c r="C10" s="11">
        <f>SUM(C6:C9)</f>
        <v>16</v>
      </c>
      <c r="D10" s="9">
        <f>SUM(D6:D9)</f>
        <v>20</v>
      </c>
      <c r="E10" s="15">
        <f>SUM(C10:D10)</f>
        <v>36</v>
      </c>
      <c r="F10" s="104">
        <f t="shared" si="0"/>
        <v>100</v>
      </c>
      <c r="G10" s="103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14</v>
      </c>
    </row>
    <row r="18" spans="1:5" ht="15" customHeight="1">
      <c r="B18" t="s">
        <v>84</v>
      </c>
      <c r="C18" s="21" t="s">
        <v>10</v>
      </c>
    </row>
    <row r="19" spans="1:5">
      <c r="B19" t="s">
        <v>94</v>
      </c>
      <c r="C19" s="21" t="s">
        <v>17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6</v>
      </c>
      <c r="E25" s="44">
        <f>ROUND(D25/SUM(D$25:D$28)*100,3)</f>
        <v>37.5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5</v>
      </c>
      <c r="E27" s="44">
        <f t="shared" ref="E27:E28" si="1">ROUND(D27/SUM(D$25:D$28)*100,3)</f>
        <v>31.25</v>
      </c>
    </row>
    <row r="28" spans="1:5">
      <c r="B28" s="52" t="s">
        <v>83</v>
      </c>
      <c r="C28" s="52" t="s">
        <v>95</v>
      </c>
      <c r="D28" s="33">
        <f>C7</f>
        <v>5</v>
      </c>
      <c r="E28" s="45">
        <f t="shared" si="1"/>
        <v>31.25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10</v>
      </c>
      <c r="E34" s="44">
        <f>ROUND(D34/SUM(D$34:D$37)*100,3)</f>
        <v>50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1</v>
      </c>
      <c r="E36" s="44">
        <f t="shared" ref="E36:E37" si="2">ROUND(D36/SUM(D$34:D$37)*100,3)</f>
        <v>5</v>
      </c>
    </row>
    <row r="37" spans="1:5">
      <c r="B37" s="52" t="s">
        <v>83</v>
      </c>
      <c r="C37" s="52" t="s">
        <v>95</v>
      </c>
      <c r="D37" s="33">
        <f>D7</f>
        <v>9</v>
      </c>
      <c r="E37" s="45">
        <f t="shared" si="2"/>
        <v>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10</v>
      </c>
      <c r="D7" s="17">
        <f>COUNTIFS(Resp2[Vínculo],"docente",Resp2[2.02],C17)</f>
        <v>10</v>
      </c>
      <c r="E7" s="15">
        <f>COUNTIF(Resp2[2.02],C17)</f>
        <v>20</v>
      </c>
      <c r="F7" s="10">
        <f>ROUND($E7/$E$9*100,2)</f>
        <v>55.56</v>
      </c>
      <c r="G7" s="9">
        <f>ROUND($E7/SUM($E$7:$E$8)*100,2)</f>
        <v>55.56</v>
      </c>
    </row>
    <row r="8" spans="1:7">
      <c r="B8" s="17" t="s">
        <v>84</v>
      </c>
      <c r="C8" s="17">
        <f>COUNTIFS(Resp2[Vínculo],"tecnico",Resp2[2.02],C18)</f>
        <v>6</v>
      </c>
      <c r="D8" s="98">
        <f>COUNTIFS(Resp2[Vínculo],"docente",Resp2[2.02],C18)</f>
        <v>10</v>
      </c>
      <c r="E8" s="99">
        <f>COUNTIF(Resp2[2.02],C18)</f>
        <v>16</v>
      </c>
      <c r="F8" s="100">
        <f>ROUND($E8/$E$9*100,2)</f>
        <v>44.44</v>
      </c>
      <c r="G8" s="101">
        <f>ROUND($E8/SUM($E$7:$E$8)*100,2)</f>
        <v>44.44</v>
      </c>
    </row>
    <row r="9" spans="1:7">
      <c r="B9" s="11" t="s">
        <v>167</v>
      </c>
      <c r="C9" s="11">
        <f>SUM(C6:C8)</f>
        <v>16</v>
      </c>
      <c r="D9" s="9">
        <f>SUM(D6:D8)</f>
        <v>20</v>
      </c>
      <c r="E9" s="9">
        <f>SUM(C9:D9)</f>
        <v>36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18</v>
      </c>
    </row>
    <row r="18" spans="1:5">
      <c r="B18" t="s">
        <v>84</v>
      </c>
      <c r="C18" s="24" t="s">
        <v>11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10</v>
      </c>
      <c r="E22" s="44">
        <f>ROUND(D22/SUM(D$22:D$25)*100,3)</f>
        <v>62.5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6</v>
      </c>
      <c r="E25" s="45">
        <f>ROUND(D25/SUM(D$22:D$25)*100,3)</f>
        <v>37.5</v>
      </c>
    </row>
    <row r="26" spans="1:5">
      <c r="A26" s="130"/>
      <c r="D26">
        <f>SUM(D22:D25)</f>
        <v>16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10</v>
      </c>
      <c r="E29" s="44">
        <f>ROUND(D29/SUM(D$29:D$32)*100,3)</f>
        <v>50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10</v>
      </c>
      <c r="E32" s="45">
        <f>ROUND(D32/SUM(D$29:D$32)*100,3)</f>
        <v>50</v>
      </c>
    </row>
    <row r="33" spans="4:4">
      <c r="D33">
        <f>SUM(D29:D32)</f>
        <v>20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7</v>
      </c>
      <c r="D7" s="10">
        <f>COUNTIFS(Resp2[Vínculo],"docente",Resp2[2.03],B7)</f>
        <v>12</v>
      </c>
      <c r="E7" s="9">
        <f>COUNTIF(Resp2[2.03],B7)</f>
        <v>19</v>
      </c>
      <c r="F7" s="10">
        <f t="shared" ref="F7:F9" si="0">ROUND($E7/$E$9*100,2)</f>
        <v>52.78</v>
      </c>
      <c r="G7" s="10">
        <f>ROUND($E7/SUM($E$7:$E$8)*100,2)</f>
        <v>52.78</v>
      </c>
    </row>
    <row r="8" spans="1:7">
      <c r="B8" s="9" t="s">
        <v>22</v>
      </c>
      <c r="C8" s="10">
        <f>COUNTIFS(Resp2[Vínculo],"tecnico",Resp2[2.03],B8)</f>
        <v>9</v>
      </c>
      <c r="D8" s="10">
        <f>COUNTIFS(Resp2[Vínculo],"docente",Resp2[2.03],B8)</f>
        <v>8</v>
      </c>
      <c r="E8" s="9">
        <f>COUNTIF(Resp2[2.03],B8)</f>
        <v>17</v>
      </c>
      <c r="F8" s="100">
        <f>ROUND($E8/$E$9*100,2)</f>
        <v>47.22</v>
      </c>
      <c r="G8" s="100">
        <f>ROUND($E8/SUM($E$7:$E$8)*100,2)</f>
        <v>47.22</v>
      </c>
    </row>
    <row r="9" spans="1:7">
      <c r="B9" s="11" t="s">
        <v>167</v>
      </c>
      <c r="C9" s="11">
        <f>SUM(C6:C8)</f>
        <v>16</v>
      </c>
      <c r="D9" s="11">
        <f>SUM(D6:D8)</f>
        <v>20</v>
      </c>
      <c r="E9" s="11">
        <f>SUM(C9:D9)</f>
        <v>36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16</v>
      </c>
      <c r="C7" s="10">
        <f>COUNTIFS(Resp2[Vínculo],"tecnico",Resp2[2.06],B7)</f>
        <v>4</v>
      </c>
      <c r="D7" s="10">
        <f>COUNTIFS(Resp2[Vínculo],"docente",Resp2[2.06],B7)</f>
        <v>1</v>
      </c>
      <c r="E7" s="10">
        <f>COUNTIF(Resp2[2.06],B7)</f>
        <v>5</v>
      </c>
      <c r="F7" s="25">
        <f t="shared" ref="F7:F13" si="0">ROUND($E7/$E$13*100,2)</f>
        <v>13.89</v>
      </c>
      <c r="G7" s="25">
        <f>ROUND($E7/SUM($E$7:$E$12)*100,3)</f>
        <v>13.888999999999999</v>
      </c>
    </row>
    <row r="8" spans="1:9">
      <c r="B8" s="9" t="s">
        <v>20</v>
      </c>
      <c r="C8" s="10">
        <f>COUNTIFS(Resp2[Vínculo],"tecnico",Resp2[2.06],B8)</f>
        <v>1</v>
      </c>
      <c r="D8" s="10">
        <f>COUNTIFS(Resp2[Vínculo],"docente",Resp2[2.06],B8)</f>
        <v>0</v>
      </c>
      <c r="E8" s="10">
        <f>COUNTIF(Resp2[2.06],B8)</f>
        <v>1</v>
      </c>
      <c r="F8" s="25">
        <f t="shared" si="0"/>
        <v>2.78</v>
      </c>
      <c r="G8" s="25">
        <f t="shared" ref="G8:G12" si="1">ROUND($E8/SUM($E$7:$E$12)*100,3)</f>
        <v>2.778</v>
      </c>
    </row>
    <row r="9" spans="1:9">
      <c r="B9" s="9" t="s">
        <v>19</v>
      </c>
      <c r="C9" s="10">
        <f>COUNTIFS(Resp2[Vínculo],"tecnico",Resp2[2.06],B9)</f>
        <v>1</v>
      </c>
      <c r="D9" s="10">
        <f>COUNTIFS(Resp2[Vínculo],"docente",Resp2[2.06],B9)</f>
        <v>5</v>
      </c>
      <c r="E9" s="10">
        <f>COUNTIF(Resp2[2.06],B9)</f>
        <v>6</v>
      </c>
      <c r="F9" s="25">
        <f t="shared" si="0"/>
        <v>16.670000000000002</v>
      </c>
      <c r="G9" s="25">
        <f t="shared" si="1"/>
        <v>16.667000000000002</v>
      </c>
    </row>
    <row r="10" spans="1:9">
      <c r="B10" s="9" t="s">
        <v>15</v>
      </c>
      <c r="C10" s="10">
        <f>COUNTIFS(Resp2[Vínculo],"tecnico",Resp2[2.06],B10)</f>
        <v>4</v>
      </c>
      <c r="D10" s="10">
        <f>COUNTIFS(Resp2[Vínculo],"docente",Resp2[2.06],B10)</f>
        <v>5</v>
      </c>
      <c r="E10" s="10">
        <f>COUNTIF(Resp2[2.06],B10)</f>
        <v>9</v>
      </c>
      <c r="F10" s="25">
        <f t="shared" si="0"/>
        <v>25</v>
      </c>
      <c r="G10" s="25">
        <f t="shared" si="1"/>
        <v>25</v>
      </c>
    </row>
    <row r="11" spans="1:9">
      <c r="B11" s="9" t="s">
        <v>13</v>
      </c>
      <c r="C11" s="10">
        <f>COUNTIFS(Resp2[Vínculo],"tecnico",Resp2[2.06],B11)</f>
        <v>4</v>
      </c>
      <c r="D11" s="10">
        <f>COUNTIFS(Resp2[Vínculo],"docente",Resp2[2.06],B11)</f>
        <v>8</v>
      </c>
      <c r="E11" s="10">
        <f>COUNTIF(Resp2[2.06],B11)</f>
        <v>12</v>
      </c>
      <c r="F11" s="25">
        <f t="shared" si="0"/>
        <v>33.33</v>
      </c>
      <c r="G11" s="25">
        <f t="shared" si="1"/>
        <v>33.332999999999998</v>
      </c>
    </row>
    <row r="12" spans="1:9">
      <c r="B12" s="101" t="s">
        <v>23</v>
      </c>
      <c r="C12" s="100">
        <f>COUNTIFS(Resp2[Vínculo],"tecnico",Resp2[2.06],B12)</f>
        <v>2</v>
      </c>
      <c r="D12" s="100">
        <f>COUNTIFS(Resp2[Vínculo],"docente",Resp2[2.06],B12)</f>
        <v>1</v>
      </c>
      <c r="E12" s="100">
        <f>COUNTIF(Resp2[2.06],B12)</f>
        <v>3</v>
      </c>
      <c r="F12" s="102">
        <f t="shared" si="0"/>
        <v>8.33</v>
      </c>
      <c r="G12" s="102">
        <f t="shared" si="1"/>
        <v>8.3330000000000002</v>
      </c>
    </row>
    <row r="13" spans="1:9">
      <c r="B13" s="10" t="s">
        <v>167</v>
      </c>
      <c r="C13" s="10">
        <f>SUM(C6:C12)</f>
        <v>16</v>
      </c>
      <c r="D13" s="10">
        <f>SUM(D6:D12)</f>
        <v>20</v>
      </c>
      <c r="E13" s="10">
        <f>SUM(C13:D13)</f>
        <v>36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2</v>
      </c>
      <c r="E18" s="44">
        <f>ROUND(D18/SUM(D$18:D$21)*100,3)</f>
        <v>12.5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4</v>
      </c>
      <c r="E19" s="44">
        <f t="shared" ref="E19:E21" si="2">ROUND(D19/SUM(D$18:D$21)*100,3)</f>
        <v>25</v>
      </c>
      <c r="F19" s="37"/>
      <c r="G19" s="38"/>
    </row>
    <row r="20" spans="2:7">
      <c r="B20" s="31" t="s">
        <v>15</v>
      </c>
      <c r="C20" s="31" t="s">
        <v>90</v>
      </c>
      <c r="D20" s="15">
        <f>C10</f>
        <v>4</v>
      </c>
      <c r="E20" s="44">
        <f t="shared" si="2"/>
        <v>25</v>
      </c>
    </row>
    <row r="21" spans="2:7">
      <c r="B21" s="52" t="s">
        <v>96</v>
      </c>
      <c r="C21" s="52" t="s">
        <v>95</v>
      </c>
      <c r="D21" s="33">
        <f>SUM(C11:C12)</f>
        <v>6</v>
      </c>
      <c r="E21" s="45">
        <f t="shared" si="2"/>
        <v>37.5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5</v>
      </c>
      <c r="E25" s="44">
        <f>ROUND(D25/SUM(D$25:D$28)*100,3)</f>
        <v>25</v>
      </c>
    </row>
    <row r="26" spans="2:7">
      <c r="B26" s="30" t="s">
        <v>181</v>
      </c>
      <c r="C26" s="30" t="s">
        <v>78</v>
      </c>
      <c r="D26" s="15">
        <f>D7</f>
        <v>1</v>
      </c>
      <c r="E26" s="44">
        <f>ROUND(D26/SUM(D$25:D$28)*100,3)</f>
        <v>5</v>
      </c>
    </row>
    <row r="27" spans="2:7">
      <c r="B27" s="31" t="s">
        <v>15</v>
      </c>
      <c r="C27" s="31" t="s">
        <v>90</v>
      </c>
      <c r="D27" s="15">
        <f>D10</f>
        <v>5</v>
      </c>
      <c r="E27" s="44">
        <f>ROUND(D27/SUM(D$25:D$28)*100,3)</f>
        <v>25</v>
      </c>
    </row>
    <row r="28" spans="2:7">
      <c r="B28" s="32" t="s">
        <v>96</v>
      </c>
      <c r="C28" s="32" t="s">
        <v>95</v>
      </c>
      <c r="D28" s="33">
        <f>SUM(D11:D12)</f>
        <v>9</v>
      </c>
      <c r="E28" s="45">
        <f>ROUND(D28/SUM(D$25:D$28)*100,3)</f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COUNTIFS(Resp2[Vínculo],"tecnico",Resp2[2.07],B7)</f>
        <v>3</v>
      </c>
      <c r="D7" s="10">
        <f>COUNTIFS(Resp2[Vínculo],"docente",Resp2[2.07],B7)</f>
        <v>1</v>
      </c>
      <c r="E7" s="10">
        <f>COUNTIF(Resp2[2.07],B7)</f>
        <v>4</v>
      </c>
      <c r="F7" s="25">
        <f t="shared" ref="F7:F12" si="0">ROUND($E7/$E$13*100,2)</f>
        <v>11.11</v>
      </c>
      <c r="G7" s="25">
        <f>ROUND($E7/SUM($E$7:$E$12)*100,3)</f>
        <v>11.111000000000001</v>
      </c>
    </row>
    <row r="8" spans="1:7">
      <c r="B8" s="9" t="s">
        <v>20</v>
      </c>
      <c r="C8" s="10">
        <f>COUNTIFS(Resp2[Vínculo],"tecnico",Resp2[2.07],B8)</f>
        <v>1</v>
      </c>
      <c r="D8" s="10">
        <f>COUNTIFS(Resp2[Vínculo],"docente",Resp2[2.07],B8)</f>
        <v>5</v>
      </c>
      <c r="E8" s="10">
        <f>COUNTIF(Resp2[2.07],B8)</f>
        <v>6</v>
      </c>
      <c r="F8" s="25">
        <f t="shared" si="0"/>
        <v>16.670000000000002</v>
      </c>
      <c r="G8" s="25">
        <f t="shared" ref="G8:G12" si="1">ROUND($E8/SUM($E$7:$E$12)*100,3)</f>
        <v>16.667000000000002</v>
      </c>
    </row>
    <row r="9" spans="1:7">
      <c r="B9" s="9" t="s">
        <v>19</v>
      </c>
      <c r="C9" s="10">
        <f>COUNTIFS(Resp2[Vínculo],"tecnico",Resp2[2.07],B9)</f>
        <v>2</v>
      </c>
      <c r="D9" s="10">
        <f>COUNTIFS(Resp2[Vínculo],"docente",Resp2[2.07],B9)</f>
        <v>4</v>
      </c>
      <c r="E9" s="10">
        <f>COUNTIF(Resp2[2.07],B9)</f>
        <v>6</v>
      </c>
      <c r="F9" s="25">
        <f t="shared" si="0"/>
        <v>16.670000000000002</v>
      </c>
      <c r="G9" s="25">
        <f t="shared" si="1"/>
        <v>16.667000000000002</v>
      </c>
    </row>
    <row r="10" spans="1:7">
      <c r="B10" s="9" t="s">
        <v>15</v>
      </c>
      <c r="C10" s="10">
        <f>COUNTIFS(Resp2[Vínculo],"tecnico",Resp2[2.07],B10)</f>
        <v>4</v>
      </c>
      <c r="D10" s="10">
        <f>COUNTIFS(Resp2[Vínculo],"docente",Resp2[2.07],B10)</f>
        <v>6</v>
      </c>
      <c r="E10" s="10">
        <f>COUNTIF(Resp2[2.07],B10)</f>
        <v>10</v>
      </c>
      <c r="F10" s="25">
        <f t="shared" si="0"/>
        <v>27.78</v>
      </c>
      <c r="G10" s="25">
        <f t="shared" si="1"/>
        <v>27.777999999999999</v>
      </c>
    </row>
    <row r="11" spans="1:7">
      <c r="B11" s="9" t="s">
        <v>13</v>
      </c>
      <c r="C11" s="10">
        <f>COUNTIFS(Resp2[Vínculo],"tecnico",Resp2[2.07],B11)</f>
        <v>4</v>
      </c>
      <c r="D11" s="10">
        <f>COUNTIFS(Resp2[Vínculo],"docente",Resp2[2.07],B11)</f>
        <v>3</v>
      </c>
      <c r="E11" s="10">
        <f>COUNTIF(Resp2[2.07],B11)</f>
        <v>7</v>
      </c>
      <c r="F11" s="25">
        <f t="shared" si="0"/>
        <v>19.440000000000001</v>
      </c>
      <c r="G11" s="25">
        <f t="shared" si="1"/>
        <v>19.443999999999999</v>
      </c>
    </row>
    <row r="12" spans="1:7">
      <c r="B12" s="26" t="s">
        <v>23</v>
      </c>
      <c r="C12" s="10">
        <f>COUNTIFS(Resp2[Vínculo],"tecnico",Resp2[2.07],B12)</f>
        <v>2</v>
      </c>
      <c r="D12" s="10">
        <f>COUNTIFS(Resp2[Vínculo],"docente",Resp2[2.07],B12)</f>
        <v>1</v>
      </c>
      <c r="E12" s="10">
        <f>COUNTIF(Resp2[2.07],B12)</f>
        <v>3</v>
      </c>
      <c r="F12" s="102">
        <f t="shared" si="0"/>
        <v>8.33</v>
      </c>
      <c r="G12" s="25">
        <f t="shared" si="1"/>
        <v>8.3330000000000002</v>
      </c>
    </row>
    <row r="13" spans="1:7">
      <c r="B13" s="9" t="s">
        <v>167</v>
      </c>
      <c r="C13" s="11">
        <f>SUM(C6:C12)</f>
        <v>16</v>
      </c>
      <c r="D13" s="11">
        <f>SUM(D6:D12)</f>
        <v>20</v>
      </c>
      <c r="E13" s="11">
        <f>SUM(C13:D13)</f>
        <v>36</v>
      </c>
      <c r="F13" s="105">
        <f>ROUND($E13/$E$13*100,2)</f>
        <v>100</v>
      </c>
      <c r="G13" s="107">
        <f>SUM(G7:G12)</f>
        <v>100.00000000000001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3</v>
      </c>
      <c r="E18" s="39">
        <f>ROUND(D18/SUM(D$18:D$21)*100,3)</f>
        <v>18.75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3</v>
      </c>
      <c r="E19" s="39">
        <f t="shared" ref="E19:E21" si="2">ROUND(D19/SUM(D$18:D$21)*100,3)</f>
        <v>18.75</v>
      </c>
      <c r="F19" s="15"/>
      <c r="G19" s="10"/>
    </row>
    <row r="20" spans="2:7">
      <c r="B20" s="31" t="s">
        <v>15</v>
      </c>
      <c r="C20" s="31" t="s">
        <v>90</v>
      </c>
      <c r="D20" s="15">
        <f>C10</f>
        <v>4</v>
      </c>
      <c r="E20" s="39">
        <f t="shared" si="2"/>
        <v>25</v>
      </c>
    </row>
    <row r="21" spans="2:7">
      <c r="B21" s="32" t="s">
        <v>96</v>
      </c>
      <c r="C21" s="32" t="s">
        <v>95</v>
      </c>
      <c r="D21" s="33">
        <f>SUM(C11:C12)</f>
        <v>6</v>
      </c>
      <c r="E21" s="42">
        <f t="shared" si="2"/>
        <v>37.5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9</v>
      </c>
      <c r="E25" s="39">
        <f>ROUND(D25/SUM(D$25:D$28)*100,3)</f>
        <v>45</v>
      </c>
    </row>
    <row r="26" spans="2:7">
      <c r="B26" s="30" t="s">
        <v>181</v>
      </c>
      <c r="C26" s="30" t="s">
        <v>78</v>
      </c>
      <c r="D26" s="15">
        <f>D7</f>
        <v>1</v>
      </c>
      <c r="E26" s="39">
        <f>ROUND(D26/SUM(D$25:D$28)*100,3)</f>
        <v>5</v>
      </c>
    </row>
    <row r="27" spans="2:7">
      <c r="B27" s="31" t="s">
        <v>15</v>
      </c>
      <c r="C27" s="31" t="s">
        <v>90</v>
      </c>
      <c r="D27" s="15">
        <f>D10</f>
        <v>6</v>
      </c>
      <c r="E27" s="39">
        <f>ROUND(D27/SUM(D$25:D$28)*100,3)</f>
        <v>30</v>
      </c>
    </row>
    <row r="28" spans="2:7">
      <c r="B28" s="32" t="s">
        <v>96</v>
      </c>
      <c r="C28" s="32" t="s">
        <v>95</v>
      </c>
      <c r="D28" s="33">
        <f>SUM(D11:D12)</f>
        <v>4</v>
      </c>
      <c r="E28" s="42">
        <f>ROUND(D28/SUM(D$25:D$28)*100,3)</f>
        <v>20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COUNTIFS(Resp2[Vínculo],"tecnico",Resp2[2.08],B7)</f>
        <v>1</v>
      </c>
      <c r="D7" s="10">
        <f>COUNTIFS(Resp2[Vínculo],"docente",Resp2[2.08],B7)</f>
        <v>3</v>
      </c>
      <c r="E7" s="10">
        <f>COUNTIF(Resp2[2.08],B7)</f>
        <v>4</v>
      </c>
      <c r="F7" s="25">
        <f t="shared" ref="F7:F13" si="0">ROUND($E7/$E$13*100,2)</f>
        <v>11.11</v>
      </c>
      <c r="G7" s="25">
        <f>ROUND($E7/SUM($E$7:$E$12)*100,3)</f>
        <v>11.111000000000001</v>
      </c>
    </row>
    <row r="8" spans="1:7">
      <c r="B8" s="9" t="s">
        <v>20</v>
      </c>
      <c r="C8" s="10">
        <f>COUNTIFS(Resp2[Vínculo],"tecnico",Resp2[2.08],B8)</f>
        <v>1</v>
      </c>
      <c r="D8" s="10">
        <f>COUNTIFS(Resp2[Vínculo],"docente",Resp2[2.08],B8)</f>
        <v>2</v>
      </c>
      <c r="E8" s="10">
        <f>COUNTIF(Resp2[2.08],B8)</f>
        <v>3</v>
      </c>
      <c r="F8" s="25">
        <f t="shared" si="0"/>
        <v>8.33</v>
      </c>
      <c r="G8" s="25">
        <f t="shared" ref="G8:G12" si="1">ROUND($E8/SUM($E$7:$E$12)*100,3)</f>
        <v>8.3330000000000002</v>
      </c>
    </row>
    <row r="9" spans="1:7">
      <c r="B9" s="9" t="s">
        <v>19</v>
      </c>
      <c r="C9" s="10">
        <f>COUNTIFS(Resp2[Vínculo],"tecnico",Resp2[2.08],B9)</f>
        <v>0</v>
      </c>
      <c r="D9" s="10">
        <f>COUNTIFS(Resp2[Vínculo],"docente",Resp2[2.08],B9)</f>
        <v>7</v>
      </c>
      <c r="E9" s="10">
        <f>COUNTIF(Resp2[2.08],B9)</f>
        <v>7</v>
      </c>
      <c r="F9" s="25">
        <f t="shared" si="0"/>
        <v>19.440000000000001</v>
      </c>
      <c r="G9" s="25">
        <f t="shared" si="1"/>
        <v>19.443999999999999</v>
      </c>
    </row>
    <row r="10" spans="1:7">
      <c r="B10" s="9" t="s">
        <v>15</v>
      </c>
      <c r="C10" s="10">
        <f>COUNTIFS(Resp2[Vínculo],"tecnico",Resp2[2.08],B10)</f>
        <v>8</v>
      </c>
      <c r="D10" s="10">
        <f>COUNTIFS(Resp2[Vínculo],"docente",Resp2[2.08],B10)</f>
        <v>3</v>
      </c>
      <c r="E10" s="10">
        <f>COUNTIF(Resp2[2.08],B10)</f>
        <v>11</v>
      </c>
      <c r="F10" s="25">
        <f t="shared" si="0"/>
        <v>30.56</v>
      </c>
      <c r="G10" s="25">
        <f t="shared" si="1"/>
        <v>30.556000000000001</v>
      </c>
    </row>
    <row r="11" spans="1:7">
      <c r="B11" s="9" t="s">
        <v>13</v>
      </c>
      <c r="C11" s="10">
        <f>COUNTIFS(Resp2[Vínculo],"tecnico",Resp2[2.08],B11)</f>
        <v>4</v>
      </c>
      <c r="D11" s="10">
        <f>COUNTIFS(Resp2[Vínculo],"docente",Resp2[2.08],B11)</f>
        <v>4</v>
      </c>
      <c r="E11" s="10">
        <f>COUNTIF(Resp2[2.08],B11)</f>
        <v>8</v>
      </c>
      <c r="F11" s="25">
        <f t="shared" si="0"/>
        <v>22.22</v>
      </c>
      <c r="G11" s="25">
        <f t="shared" si="1"/>
        <v>22.222000000000001</v>
      </c>
    </row>
    <row r="12" spans="1:7">
      <c r="B12" s="26" t="s">
        <v>23</v>
      </c>
      <c r="C12" s="10">
        <f>COUNTIFS(Resp2[Vínculo],"tecnico",Resp2[2.08],B12)</f>
        <v>2</v>
      </c>
      <c r="D12" s="10">
        <f>COUNTIFS(Resp2[Vínculo],"docente",Resp2[2.08],B12)</f>
        <v>1</v>
      </c>
      <c r="E12" s="10">
        <f>COUNTIF(Resp2[2.08],B12)</f>
        <v>3</v>
      </c>
      <c r="F12" s="102">
        <f t="shared" si="0"/>
        <v>8.33</v>
      </c>
      <c r="G12" s="25">
        <f t="shared" si="1"/>
        <v>8.3330000000000002</v>
      </c>
    </row>
    <row r="13" spans="1:7">
      <c r="B13" s="27" t="s">
        <v>167</v>
      </c>
      <c r="C13" s="11">
        <f>SUM(C6:C12)</f>
        <v>16</v>
      </c>
      <c r="D13" s="11">
        <f>SUM(D6:D12)</f>
        <v>20</v>
      </c>
      <c r="E13" s="11">
        <f>SUM(C13:D13)</f>
        <v>36</v>
      </c>
      <c r="F13" s="105">
        <f t="shared" si="0"/>
        <v>100</v>
      </c>
      <c r="G13" s="107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1</v>
      </c>
      <c r="E18" s="39">
        <f>ROUND(D18/SUM(D$18:D$21)*100,3)</f>
        <v>6.25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1</v>
      </c>
      <c r="E19" s="39">
        <f t="shared" ref="E19:E21" si="2">ROUND(D19/SUM(D$18:D$21)*100,3)</f>
        <v>6.25</v>
      </c>
      <c r="F19" s="15"/>
      <c r="G19" s="10"/>
    </row>
    <row r="20" spans="2:7">
      <c r="B20" s="31" t="s">
        <v>15</v>
      </c>
      <c r="C20" s="31" t="s">
        <v>90</v>
      </c>
      <c r="D20" s="15">
        <f>C10</f>
        <v>8</v>
      </c>
      <c r="E20" s="39">
        <f t="shared" si="2"/>
        <v>50</v>
      </c>
    </row>
    <row r="21" spans="2:7">
      <c r="B21" s="32" t="s">
        <v>96</v>
      </c>
      <c r="C21" s="32" t="s">
        <v>95</v>
      </c>
      <c r="D21" s="33">
        <f>SUM(C11:C12)</f>
        <v>6</v>
      </c>
      <c r="E21" s="42">
        <f t="shared" si="2"/>
        <v>37.5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9</v>
      </c>
      <c r="E25" s="39">
        <f>ROUND(D25/SUM(D$25:D$28)*100,3)</f>
        <v>45</v>
      </c>
    </row>
    <row r="26" spans="2:7">
      <c r="B26" s="30" t="s">
        <v>181</v>
      </c>
      <c r="C26" s="30" t="s">
        <v>78</v>
      </c>
      <c r="D26" s="15">
        <f>D7</f>
        <v>3</v>
      </c>
      <c r="E26" s="39">
        <f>ROUND(D26/SUM(D$25:D$28)*100,3)</f>
        <v>15</v>
      </c>
    </row>
    <row r="27" spans="2:7">
      <c r="B27" s="31" t="s">
        <v>15</v>
      </c>
      <c r="C27" s="31" t="s">
        <v>90</v>
      </c>
      <c r="D27" s="15">
        <f>D10</f>
        <v>3</v>
      </c>
      <c r="E27" s="39">
        <f>ROUND(D27/SUM(D$25:D$28)*100,3)</f>
        <v>15</v>
      </c>
    </row>
    <row r="28" spans="2:7">
      <c r="B28" s="32" t="s">
        <v>96</v>
      </c>
      <c r="C28" s="32" t="s">
        <v>95</v>
      </c>
      <c r="D28" s="33">
        <f>SUM(D11:D12)</f>
        <v>5</v>
      </c>
      <c r="E28" s="42">
        <f>ROUND(D28/SUM(D$25:D$28)*100,3)</f>
        <v>25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COUNTIFS(Resp3[Vínculo],"tecnico",Resp3[3.01],B7)</f>
        <v>1</v>
      </c>
      <c r="D7" s="10">
        <f>COUNTIFS(Resp3[Vínculo],"docente",Resp3[3.01],B7)</f>
        <v>3</v>
      </c>
      <c r="E7" s="10">
        <f>COUNTIF(Resp3[3.01],B7)</f>
        <v>4</v>
      </c>
      <c r="F7" s="25">
        <f t="shared" ref="F7:F13" si="0">ROUND($E7/$E$13*100,2)</f>
        <v>11.76</v>
      </c>
      <c r="G7" s="25">
        <f>ROUND($E7/SUM($E$7:$E$12)*100,3)</f>
        <v>11.765000000000001</v>
      </c>
    </row>
    <row r="8" spans="1:7">
      <c r="B8" s="9" t="s">
        <v>20</v>
      </c>
      <c r="C8" s="10">
        <f>COUNTIFS(Resp3[Vínculo],"tecnico",Resp3[3.01],B8)</f>
        <v>0</v>
      </c>
      <c r="D8" s="10">
        <f>COUNTIFS(Resp3[Vínculo],"docente",Resp3[3.01],B8)</f>
        <v>1</v>
      </c>
      <c r="E8" s="10">
        <f>COUNTIF(Resp3[3.01],B8)</f>
        <v>1</v>
      </c>
      <c r="F8" s="25">
        <f t="shared" si="0"/>
        <v>2.94</v>
      </c>
      <c r="G8" s="25">
        <f t="shared" ref="G8:G12" si="1">ROUND($E8/SUM($E$7:$E$12)*100,3)</f>
        <v>2.9409999999999998</v>
      </c>
    </row>
    <row r="9" spans="1:7">
      <c r="B9" s="9" t="s">
        <v>19</v>
      </c>
      <c r="C9" s="10">
        <f>COUNTIFS(Resp3[Vínculo],"tecnico",Resp3[3.01],B9)</f>
        <v>1</v>
      </c>
      <c r="D9" s="10">
        <f>COUNTIFS(Resp3[Vínculo],"docente",Resp3[3.01],B9)</f>
        <v>2</v>
      </c>
      <c r="E9" s="10">
        <f>COUNTIF(Resp3[3.01],B9)</f>
        <v>3</v>
      </c>
      <c r="F9" s="25">
        <f t="shared" si="0"/>
        <v>8.82</v>
      </c>
      <c r="G9" s="25">
        <f t="shared" si="1"/>
        <v>8.8239999999999998</v>
      </c>
    </row>
    <row r="10" spans="1:7">
      <c r="B10" s="9" t="s">
        <v>15</v>
      </c>
      <c r="C10" s="10">
        <f>COUNTIFS(Resp3[Vínculo],"tecnico",Resp3[3.01],B10)</f>
        <v>3</v>
      </c>
      <c r="D10" s="10">
        <f>COUNTIFS(Resp3[Vínculo],"docente",Resp3[3.01],B10)</f>
        <v>11</v>
      </c>
      <c r="E10" s="10">
        <f>COUNTIF(Resp3[3.01],B10)</f>
        <v>14</v>
      </c>
      <c r="F10" s="25">
        <f t="shared" si="0"/>
        <v>41.18</v>
      </c>
      <c r="G10" s="25">
        <f t="shared" si="1"/>
        <v>41.176000000000002</v>
      </c>
    </row>
    <row r="11" spans="1:7">
      <c r="B11" s="9" t="s">
        <v>13</v>
      </c>
      <c r="C11" s="10">
        <f>COUNTIFS(Resp3[Vínculo],"tecnico",Resp3[3.01],B11)</f>
        <v>7</v>
      </c>
      <c r="D11" s="10">
        <f>COUNTIFS(Resp3[Vínculo],"docente",Resp3[3.01],B11)</f>
        <v>3</v>
      </c>
      <c r="E11" s="10">
        <f>COUNTIF(Resp3[3.01],B11)</f>
        <v>10</v>
      </c>
      <c r="F11" s="25">
        <f t="shared" si="0"/>
        <v>29.41</v>
      </c>
      <c r="G11" s="25">
        <f t="shared" si="1"/>
        <v>29.411999999999999</v>
      </c>
    </row>
    <row r="12" spans="1:7">
      <c r="B12" s="26" t="s">
        <v>23</v>
      </c>
      <c r="C12" s="10">
        <f>COUNTIFS(Resp3[Vínculo],"tecnico",Resp3[3.01],B12)</f>
        <v>2</v>
      </c>
      <c r="D12" s="10">
        <f>COUNTIFS(Resp3[Vínculo],"docente",Resp3[3.01],B12)</f>
        <v>0</v>
      </c>
      <c r="E12" s="10">
        <f>COUNTIF(Resp3[3.01],B12)</f>
        <v>2</v>
      </c>
      <c r="F12" s="102">
        <f t="shared" si="0"/>
        <v>5.88</v>
      </c>
      <c r="G12" s="25">
        <f t="shared" si="1"/>
        <v>5.8819999999999997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7.1429999999999998</v>
      </c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21.428999999999998</v>
      </c>
    </row>
    <row r="22" spans="2:7">
      <c r="B22" s="32" t="s">
        <v>96</v>
      </c>
      <c r="C22" s="32" t="s">
        <v>95</v>
      </c>
      <c r="D22" s="33">
        <f>SUM(C11:C12)</f>
        <v>9</v>
      </c>
      <c r="E22" s="45">
        <f>ROUND(D22/SUM(D$19:D$22)*100,3)</f>
        <v>64.286000000000001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15</v>
      </c>
    </row>
    <row r="27" spans="2:7">
      <c r="B27" s="30" t="s">
        <v>181</v>
      </c>
      <c r="C27" s="30" t="s">
        <v>78</v>
      </c>
      <c r="D27" s="15">
        <f>D7</f>
        <v>3</v>
      </c>
      <c r="E27" s="44">
        <f>ROUND(D27/SUM(D$26:D$29)*100,3)</f>
        <v>15</v>
      </c>
    </row>
    <row r="28" spans="2:7">
      <c r="B28" s="31" t="s">
        <v>15</v>
      </c>
      <c r="C28" s="31" t="s">
        <v>90</v>
      </c>
      <c r="D28" s="15">
        <f>SUM(D10)</f>
        <v>11</v>
      </c>
      <c r="E28" s="44">
        <f>ROUND(D28/SUM(D$26:D$29)*100,3)</f>
        <v>55</v>
      </c>
    </row>
    <row r="29" spans="2:7">
      <c r="B29" s="32" t="s">
        <v>96</v>
      </c>
      <c r="C29" s="32" t="s">
        <v>95</v>
      </c>
      <c r="D29" s="33">
        <f>SUM(D11:D12)</f>
        <v>3</v>
      </c>
      <c r="E29" s="45">
        <f>ROUND(D29/SUM(D$26:D$29)*100,3)</f>
        <v>15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16</v>
      </c>
      <c r="C7" s="10">
        <f>COUNTIFS(Resp3[Vínculo],"tecnico",Resp3[3.02],B7)</f>
        <v>0</v>
      </c>
      <c r="D7" s="10">
        <f>COUNTIFS(Resp3[Vínculo],"docente",Resp3[3.02],B7)</f>
        <v>2</v>
      </c>
      <c r="E7" s="10">
        <f>COUNTIF(Resp3[3.02],B7)</f>
        <v>2</v>
      </c>
      <c r="F7" s="25">
        <f t="shared" ref="F7:F13" si="0">ROUND($E7/E$13*100,2)</f>
        <v>5.88</v>
      </c>
      <c r="G7" s="25">
        <f>ROUND($E7/SUM($E$7:$E$12)*100,3)</f>
        <v>5.8819999999999997</v>
      </c>
    </row>
    <row r="8" spans="1:7">
      <c r="B8" s="9" t="s">
        <v>20</v>
      </c>
      <c r="C8" s="10">
        <f>COUNTIFS(Resp3[Vínculo],"tecnico",Resp3[3.02],B8)</f>
        <v>1</v>
      </c>
      <c r="D8" s="10">
        <f>COUNTIFS(Resp3[Vínculo],"docente",Resp3[3.02],B8)</f>
        <v>4</v>
      </c>
      <c r="E8" s="10">
        <f>COUNTIF(Resp3[3.02],B8)</f>
        <v>5</v>
      </c>
      <c r="F8" s="25">
        <f t="shared" si="0"/>
        <v>14.71</v>
      </c>
      <c r="G8" s="25">
        <f t="shared" ref="G8:G12" si="1">ROUND($E8/SUM($E$7:$E$12)*100,3)</f>
        <v>14.706</v>
      </c>
    </row>
    <row r="9" spans="1:7">
      <c r="B9" s="9" t="s">
        <v>19</v>
      </c>
      <c r="C9" s="10">
        <f>COUNTIFS(Resp3[Vínculo],"tecnico",Resp3[3.02],B9)</f>
        <v>4</v>
      </c>
      <c r="D9" s="10">
        <f>COUNTIFS(Resp3[Vínculo],"docente",Resp3[3.02],B9)</f>
        <v>3</v>
      </c>
      <c r="E9" s="10">
        <f>COUNTIF(Resp3[3.02],B9)</f>
        <v>7</v>
      </c>
      <c r="F9" s="25">
        <f t="shared" si="0"/>
        <v>20.59</v>
      </c>
      <c r="G9" s="25">
        <f t="shared" si="1"/>
        <v>20.588000000000001</v>
      </c>
    </row>
    <row r="10" spans="1:7">
      <c r="B10" s="9" t="s">
        <v>15</v>
      </c>
      <c r="C10" s="10">
        <f>COUNTIFS(Resp3[Vínculo],"tecnico",Resp3[3.02],B10)</f>
        <v>2</v>
      </c>
      <c r="D10" s="10">
        <f>COUNTIFS(Resp3[Vínculo],"docente",Resp3[3.02],B10)</f>
        <v>7</v>
      </c>
      <c r="E10" s="10">
        <f>COUNTIF(Resp3[3.02],B10)</f>
        <v>9</v>
      </c>
      <c r="F10" s="25">
        <f t="shared" si="0"/>
        <v>26.47</v>
      </c>
      <c r="G10" s="25">
        <f t="shared" si="1"/>
        <v>26.471</v>
      </c>
    </row>
    <row r="11" spans="1:7">
      <c r="B11" s="9" t="s">
        <v>13</v>
      </c>
      <c r="C11" s="10">
        <f>COUNTIFS(Resp3[Vínculo],"tecnico",Resp3[3.02],B11)</f>
        <v>5</v>
      </c>
      <c r="D11" s="10">
        <f>COUNTIFS(Resp3[Vínculo],"docente",Resp3[3.02],B11)</f>
        <v>4</v>
      </c>
      <c r="E11" s="10">
        <f>COUNTIF(Resp3[3.02],B11)</f>
        <v>9</v>
      </c>
      <c r="F11" s="25">
        <f t="shared" si="0"/>
        <v>26.47</v>
      </c>
      <c r="G11" s="25">
        <f t="shared" si="1"/>
        <v>26.471</v>
      </c>
    </row>
    <row r="12" spans="1:7">
      <c r="B12" s="26" t="s">
        <v>23</v>
      </c>
      <c r="C12" s="10">
        <f>COUNTIFS(Resp3[Vínculo],"tecnico",Resp3[3.02],B12)</f>
        <v>2</v>
      </c>
      <c r="D12" s="10">
        <f>COUNTIFS(Resp3[Vínculo],"docente",Resp3[3.02],B12)</f>
        <v>0</v>
      </c>
      <c r="E12" s="10">
        <f>COUNTIF(Resp3[3.02],B12)</f>
        <v>2</v>
      </c>
      <c r="F12" s="102">
        <f t="shared" si="0"/>
        <v>5.88</v>
      </c>
      <c r="G12" s="25">
        <f t="shared" si="1"/>
        <v>5.8819999999999997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100.00000000000001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5</v>
      </c>
      <c r="E19" s="12">
        <f>ROUND(D19/SUM(D$19:D$22)*100,3)</f>
        <v>35.713999999999999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0</v>
      </c>
      <c r="E20" s="10">
        <f>ROUND(D20/SUM(D$19:D$22)*100,3)</f>
        <v>0</v>
      </c>
    </row>
    <row r="21" spans="2:7">
      <c r="B21" s="31" t="s">
        <v>15</v>
      </c>
      <c r="C21" s="31" t="s">
        <v>90</v>
      </c>
      <c r="D21" s="15">
        <f>C10</f>
        <v>2</v>
      </c>
      <c r="E21" s="10">
        <f>ROUND(D21/SUM(D$19:D$22)*100,3)</f>
        <v>14.286</v>
      </c>
    </row>
    <row r="22" spans="2:7">
      <c r="B22" s="32" t="s">
        <v>96</v>
      </c>
      <c r="C22" s="32" t="s">
        <v>95</v>
      </c>
      <c r="D22" s="33">
        <f>SUM(C11:C12)</f>
        <v>7</v>
      </c>
      <c r="E22" s="34">
        <f>ROUND(D22/SUM(D$19:D$22)*100,3)</f>
        <v>50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35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10</v>
      </c>
    </row>
    <row r="28" spans="2:7">
      <c r="B28" s="31" t="s">
        <v>15</v>
      </c>
      <c r="C28" s="31" t="s">
        <v>90</v>
      </c>
      <c r="D28" s="15">
        <f>SUM(D10)</f>
        <v>7</v>
      </c>
      <c r="E28" s="44">
        <f>ROUND(D28/SUM(D$26:D$29)*100,3)</f>
        <v>35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COUNTIFS(Resp3[Vínculo],"tecnico",Resp3[3.03],B7)</f>
        <v>3</v>
      </c>
      <c r="D7" s="10">
        <f>COUNTIFS(Resp3[Vínculo],"docente",Resp3[3.03],B7)</f>
        <v>4</v>
      </c>
      <c r="E7" s="10">
        <f>COUNTIF(Resp3[3.03],B7)</f>
        <v>7</v>
      </c>
      <c r="F7" s="25">
        <f t="shared" ref="F7:F13" si="0">ROUND($E7/$E$13*100,2)</f>
        <v>20.59</v>
      </c>
      <c r="G7" s="25">
        <f>ROUND($E7/SUM($E$7:$E$12)*100,3)</f>
        <v>20.588000000000001</v>
      </c>
    </row>
    <row r="8" spans="1:7">
      <c r="B8" s="9" t="s">
        <v>20</v>
      </c>
      <c r="C8" s="10">
        <f>COUNTIFS(Resp3[Vínculo],"tecnico",Resp3[3.03],B8)</f>
        <v>0</v>
      </c>
      <c r="D8" s="10">
        <f>COUNTIFS(Resp3[Vínculo],"docente",Resp3[3.03],B8)</f>
        <v>1</v>
      </c>
      <c r="E8" s="10">
        <f>COUNTIF(Resp3[3.03],B8)</f>
        <v>1</v>
      </c>
      <c r="F8" s="25">
        <f t="shared" si="0"/>
        <v>2.94</v>
      </c>
      <c r="G8" s="25">
        <f t="shared" ref="G8:G12" si="1">ROUND($E8/SUM($E$7:$E$12)*100,3)</f>
        <v>2.9409999999999998</v>
      </c>
    </row>
    <row r="9" spans="1:7">
      <c r="B9" s="9" t="s">
        <v>19</v>
      </c>
      <c r="C9" s="10">
        <f>COUNTIFS(Resp3[Vínculo],"tecnico",Resp3[3.03],B9)</f>
        <v>0</v>
      </c>
      <c r="D9" s="10">
        <f>COUNTIFS(Resp3[Vínculo],"docente",Resp3[3.03],B9)</f>
        <v>2</v>
      </c>
      <c r="E9" s="10">
        <f>COUNTIF(Resp3[3.03],B9)</f>
        <v>2</v>
      </c>
      <c r="F9" s="25">
        <f t="shared" si="0"/>
        <v>5.88</v>
      </c>
      <c r="G9" s="25">
        <f t="shared" si="1"/>
        <v>5.8819999999999997</v>
      </c>
    </row>
    <row r="10" spans="1:7">
      <c r="B10" s="9" t="s">
        <v>15</v>
      </c>
      <c r="C10" s="10">
        <f>COUNTIFS(Resp3[Vínculo],"tecnico",Resp3[3.03],B10)</f>
        <v>3</v>
      </c>
      <c r="D10" s="10">
        <f>COUNTIFS(Resp3[Vínculo],"docente",Resp3[3.03],B10)</f>
        <v>7</v>
      </c>
      <c r="E10" s="10">
        <f>COUNTIF(Resp3[3.03],B10)</f>
        <v>10</v>
      </c>
      <c r="F10" s="25">
        <f t="shared" si="0"/>
        <v>29.41</v>
      </c>
      <c r="G10" s="25">
        <f t="shared" si="1"/>
        <v>29.411999999999999</v>
      </c>
    </row>
    <row r="11" spans="1:7">
      <c r="B11" s="9" t="s">
        <v>13</v>
      </c>
      <c r="C11" s="10">
        <f>COUNTIFS(Resp3[Vínculo],"tecnico",Resp3[3.03],B11)</f>
        <v>5</v>
      </c>
      <c r="D11" s="10">
        <f>COUNTIFS(Resp3[Vínculo],"docente",Resp3[3.03],B11)</f>
        <v>5</v>
      </c>
      <c r="E11" s="10">
        <f>COUNTIF(Resp3[3.03],B11)</f>
        <v>10</v>
      </c>
      <c r="F11" s="25">
        <f t="shared" si="0"/>
        <v>29.41</v>
      </c>
      <c r="G11" s="25">
        <f t="shared" si="1"/>
        <v>29.411999999999999</v>
      </c>
    </row>
    <row r="12" spans="1:7">
      <c r="B12" s="26" t="s">
        <v>23</v>
      </c>
      <c r="C12" s="10">
        <f>COUNTIFS(Resp3[Vínculo],"tecnico",Resp3[3.03],B12)</f>
        <v>3</v>
      </c>
      <c r="D12" s="10">
        <f>COUNTIFS(Resp3[Vínculo],"docente",Resp3[3.03],B12)</f>
        <v>1</v>
      </c>
      <c r="E12" s="10">
        <f>COUNTIF(Resp3[3.03],B12)</f>
        <v>4</v>
      </c>
      <c r="F12" s="102">
        <f t="shared" si="0"/>
        <v>11.76</v>
      </c>
      <c r="G12" s="25">
        <f t="shared" si="1"/>
        <v>11.765000000000001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21.428999999999998</v>
      </c>
      <c r="F20" s="15"/>
      <c r="G20" s="10"/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21.428999999999998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8</v>
      </c>
      <c r="E22" s="45">
        <f>ROUND(D22/SUM(D$19:D$22)*100,3)</f>
        <v>57.143000000000001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15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20</v>
      </c>
    </row>
    <row r="28" spans="2:7">
      <c r="B28" s="31" t="s">
        <v>15</v>
      </c>
      <c r="C28" s="31" t="s">
        <v>90</v>
      </c>
      <c r="D28" s="15">
        <f>SUM(D10)</f>
        <v>7</v>
      </c>
      <c r="E28" s="44">
        <f>ROUND(D28/SUM(D$26:D$29)*100,3)</f>
        <v>35</v>
      </c>
    </row>
    <row r="29" spans="2:7">
      <c r="B29" s="32" t="s">
        <v>96</v>
      </c>
      <c r="C29" s="32" t="s">
        <v>95</v>
      </c>
      <c r="D29" s="33">
        <f>SUM(D11:D12)</f>
        <v>6</v>
      </c>
      <c r="E29" s="45">
        <f>ROUND(D29/SUM(D$26:D$29)*100,3)</f>
        <v>30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COUNTIFS(Resp3[Vínculo],"tecnico",Resp3[3.04],B7)</f>
        <v>2</v>
      </c>
      <c r="D7" s="10">
        <f>COUNTIFS(Resp3[Vínculo],"docente",Resp3[3.04],B7)</f>
        <v>4</v>
      </c>
      <c r="E7" s="10">
        <f>COUNTIF(Resp3[3.04],B7)</f>
        <v>6</v>
      </c>
      <c r="F7" s="25">
        <f t="shared" ref="F7:F13" si="0">ROUND($E7/$E$13*100,2)</f>
        <v>17.649999999999999</v>
      </c>
      <c r="G7" s="25">
        <f>ROUND($E7/SUM($E$7:$E$12)*100,3)</f>
        <v>17.646999999999998</v>
      </c>
    </row>
    <row r="8" spans="1:7">
      <c r="B8" s="9" t="s">
        <v>20</v>
      </c>
      <c r="C8" s="10">
        <f>COUNTIFS(Resp3[Vínculo],"tecnico",Resp3[3.04],B8)</f>
        <v>0</v>
      </c>
      <c r="D8" s="10">
        <f>COUNTIFS(Resp3[Vínculo],"docente",Resp3[3.04],B8)</f>
        <v>4</v>
      </c>
      <c r="E8" s="10">
        <f>COUNTIF(Resp3[3.04],B8)</f>
        <v>4</v>
      </c>
      <c r="F8" s="25">
        <f t="shared" si="0"/>
        <v>11.76</v>
      </c>
      <c r="G8" s="25">
        <f t="shared" ref="G8:G12" si="1">ROUND($E8/SUM($E$7:$E$12)*100,3)</f>
        <v>11.765000000000001</v>
      </c>
    </row>
    <row r="9" spans="1:7">
      <c r="B9" s="9" t="s">
        <v>19</v>
      </c>
      <c r="C9" s="10">
        <f>COUNTIFS(Resp3[Vínculo],"tecnico",Resp3[3.04],B9)</f>
        <v>1</v>
      </c>
      <c r="D9" s="10">
        <f>COUNTIFS(Resp3[Vínculo],"docente",Resp3[3.04],B9)</f>
        <v>4</v>
      </c>
      <c r="E9" s="10">
        <f>COUNTIF(Resp3[3.04],B9)</f>
        <v>5</v>
      </c>
      <c r="F9" s="25">
        <f t="shared" si="0"/>
        <v>14.71</v>
      </c>
      <c r="G9" s="25">
        <f t="shared" si="1"/>
        <v>14.706</v>
      </c>
    </row>
    <row r="10" spans="1:7">
      <c r="B10" s="9" t="s">
        <v>15</v>
      </c>
      <c r="C10" s="10">
        <f>COUNTIFS(Resp3[Vínculo],"tecnico",Resp3[3.04],B10)</f>
        <v>4</v>
      </c>
      <c r="D10" s="10">
        <f>COUNTIFS(Resp3[Vínculo],"docente",Resp3[3.04],B10)</f>
        <v>4</v>
      </c>
      <c r="E10" s="10">
        <f>COUNTIF(Resp3[3.04],B10)</f>
        <v>8</v>
      </c>
      <c r="F10" s="25">
        <f t="shared" si="0"/>
        <v>23.53</v>
      </c>
      <c r="G10" s="25">
        <f t="shared" si="1"/>
        <v>23.529</v>
      </c>
    </row>
    <row r="11" spans="1:7">
      <c r="B11" s="9" t="s">
        <v>13</v>
      </c>
      <c r="C11" s="10">
        <f>COUNTIFS(Resp3[Vínculo],"tecnico",Resp3[3.04],B11)</f>
        <v>5</v>
      </c>
      <c r="D11" s="10">
        <f>COUNTIFS(Resp3[Vínculo],"docente",Resp3[3.04],B11)</f>
        <v>3</v>
      </c>
      <c r="E11" s="10">
        <f>COUNTIF(Resp3[3.04],B11)</f>
        <v>8</v>
      </c>
      <c r="F11" s="25">
        <f t="shared" si="0"/>
        <v>23.53</v>
      </c>
      <c r="G11" s="25">
        <f t="shared" si="1"/>
        <v>23.529</v>
      </c>
    </row>
    <row r="12" spans="1:7">
      <c r="B12" s="26" t="s">
        <v>23</v>
      </c>
      <c r="C12" s="10">
        <f>COUNTIFS(Resp3[Vínculo],"tecnico",Resp3[3.04],B12)</f>
        <v>2</v>
      </c>
      <c r="D12" s="10">
        <f>COUNTIFS(Resp3[Vínculo],"docente",Resp3[3.04],B12)</f>
        <v>1</v>
      </c>
      <c r="E12" s="10">
        <f>COUNTIF(Resp3[3.04],B12)</f>
        <v>3</v>
      </c>
      <c r="F12" s="102">
        <f t="shared" si="0"/>
        <v>8.82</v>
      </c>
      <c r="G12" s="25">
        <f t="shared" si="1"/>
        <v>8.8239999999999998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99.999999999999986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14.286</v>
      </c>
    </row>
    <row r="21" spans="2:7">
      <c r="B21" s="31" t="s">
        <v>15</v>
      </c>
      <c r="C21" s="31" t="s">
        <v>90</v>
      </c>
      <c r="D21" s="15">
        <f>C10</f>
        <v>4</v>
      </c>
      <c r="E21" s="44">
        <f>ROUND(D21/SUM(D$19:D$22)*100,3)</f>
        <v>28.571000000000002</v>
      </c>
    </row>
    <row r="22" spans="2:7">
      <c r="B22" s="32" t="s">
        <v>96</v>
      </c>
      <c r="C22" s="32" t="s">
        <v>95</v>
      </c>
      <c r="D22" s="33">
        <f>SUM(C11:C12)</f>
        <v>7</v>
      </c>
      <c r="E22" s="45">
        <f>ROUND(D22/SUM(D$19:D$22)*100,3)</f>
        <v>50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8</v>
      </c>
      <c r="E26" s="44">
        <f>ROUND(D26/SUM(D$26:D$29)*100,3)</f>
        <v>40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20</v>
      </c>
    </row>
    <row r="28" spans="2:7">
      <c r="B28" s="31" t="s">
        <v>15</v>
      </c>
      <c r="C28" s="31" t="s">
        <v>90</v>
      </c>
      <c r="D28" s="15">
        <f>SUM(D10)</f>
        <v>4</v>
      </c>
      <c r="E28" s="44">
        <f>ROUND(D28/SUM(D$26:D$29)*100,3)</f>
        <v>20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COUNTIFS(Resp3[Vínculo],"tecnico",Resp3[3.05],B7)</f>
        <v>1</v>
      </c>
      <c r="D7" s="10">
        <f>COUNTIFS(Resp3[Vínculo],"docente",Resp3[3.05],B7)</f>
        <v>4</v>
      </c>
      <c r="E7" s="10">
        <f>COUNTIF(Resp3[3.05],B7)</f>
        <v>5</v>
      </c>
      <c r="F7" s="25">
        <f t="shared" ref="F7:F13" si="0">ROUND($E7/$E$13*100,2)</f>
        <v>14.71</v>
      </c>
      <c r="G7" s="25">
        <f>ROUND($E7/SUM($E$7:$E$12)*100,3)</f>
        <v>14.706</v>
      </c>
    </row>
    <row r="8" spans="1:7">
      <c r="B8" s="9" t="s">
        <v>20</v>
      </c>
      <c r="C8" s="10">
        <f>COUNTIFS(Resp3[Vínculo],"tecnico",Resp3[3.05],B8)</f>
        <v>0</v>
      </c>
      <c r="D8" s="10">
        <f>COUNTIFS(Resp3[Vínculo],"docente",Resp3[3.05],B8)</f>
        <v>3</v>
      </c>
      <c r="E8" s="10">
        <f>COUNTIF(Resp3[3.05],B8)</f>
        <v>3</v>
      </c>
      <c r="F8" s="25">
        <f t="shared" si="0"/>
        <v>8.82</v>
      </c>
      <c r="G8" s="25">
        <f t="shared" ref="G8:G12" si="1">ROUND($E8/SUM($E$7:$E$12)*100,3)</f>
        <v>8.8239999999999998</v>
      </c>
    </row>
    <row r="9" spans="1:7">
      <c r="B9" s="9" t="s">
        <v>19</v>
      </c>
      <c r="C9" s="10">
        <f>COUNTIFS(Resp3[Vínculo],"tecnico",Resp3[3.05],B9)</f>
        <v>0</v>
      </c>
      <c r="D9" s="10">
        <f>COUNTIFS(Resp3[Vínculo],"docente",Resp3[3.05],B9)</f>
        <v>2</v>
      </c>
      <c r="E9" s="10">
        <f>COUNTIF(Resp3[3.05],B9)</f>
        <v>2</v>
      </c>
      <c r="F9" s="25">
        <f t="shared" si="0"/>
        <v>5.88</v>
      </c>
      <c r="G9" s="25">
        <f t="shared" si="1"/>
        <v>5.8819999999999997</v>
      </c>
    </row>
    <row r="10" spans="1:7">
      <c r="B10" s="9" t="s">
        <v>15</v>
      </c>
      <c r="C10" s="10">
        <f>COUNTIFS(Resp3[Vínculo],"tecnico",Resp3[3.05],B10)</f>
        <v>3</v>
      </c>
      <c r="D10" s="10">
        <f>COUNTIFS(Resp3[Vínculo],"docente",Resp3[3.05],B10)</f>
        <v>7</v>
      </c>
      <c r="E10" s="10">
        <f>COUNTIF(Resp3[3.05],B10)</f>
        <v>10</v>
      </c>
      <c r="F10" s="25">
        <f t="shared" si="0"/>
        <v>29.41</v>
      </c>
      <c r="G10" s="25">
        <f t="shared" si="1"/>
        <v>29.411999999999999</v>
      </c>
    </row>
    <row r="11" spans="1:7">
      <c r="B11" s="9" t="s">
        <v>13</v>
      </c>
      <c r="C11" s="10">
        <f>COUNTIFS(Resp3[Vínculo],"tecnico",Resp3[3.05],B11)</f>
        <v>8</v>
      </c>
      <c r="D11" s="10">
        <f>COUNTIFS(Resp3[Vínculo],"docente",Resp3[3.05],B11)</f>
        <v>4</v>
      </c>
      <c r="E11" s="10">
        <f>COUNTIF(Resp3[3.05],B11)</f>
        <v>12</v>
      </c>
      <c r="F11" s="25">
        <f t="shared" si="0"/>
        <v>35.29</v>
      </c>
      <c r="G11" s="25">
        <f t="shared" si="1"/>
        <v>35.293999999999997</v>
      </c>
    </row>
    <row r="12" spans="1:7">
      <c r="B12" s="26" t="s">
        <v>23</v>
      </c>
      <c r="C12" s="10">
        <f>COUNTIFS(Resp3[Vínculo],"tecnico",Resp3[3.05],B12)</f>
        <v>2</v>
      </c>
      <c r="D12" s="10">
        <f>COUNTIFS(Resp3[Vínculo],"docente",Resp3[3.05],B12)</f>
        <v>0</v>
      </c>
      <c r="E12" s="10">
        <f>COUNTIF(Resp3[3.05],B12)</f>
        <v>2</v>
      </c>
      <c r="F12" s="102">
        <f t="shared" si="0"/>
        <v>5.88</v>
      </c>
      <c r="G12" s="25">
        <f t="shared" si="1"/>
        <v>5.8819999999999997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7.1429999999999998</v>
      </c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21.428999999999998</v>
      </c>
    </row>
    <row r="22" spans="2:7">
      <c r="B22" s="32" t="s">
        <v>96</v>
      </c>
      <c r="C22" s="32" t="s">
        <v>95</v>
      </c>
      <c r="D22" s="33">
        <f>SUM(C11:C12)</f>
        <v>10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25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20</v>
      </c>
    </row>
    <row r="28" spans="2:7">
      <c r="B28" s="31" t="s">
        <v>15</v>
      </c>
      <c r="C28" s="31" t="s">
        <v>90</v>
      </c>
      <c r="D28" s="15">
        <f>SUM(D10)</f>
        <v>7</v>
      </c>
      <c r="E28" s="44">
        <f>ROUND(D28/SUM(D$26:D$29)*100,3)</f>
        <v>35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COUNTIFS(Resp3[Vínculo],"tecnico",Resp3[3.06],B7)</f>
        <v>1</v>
      </c>
      <c r="D7" s="10">
        <f>COUNTIFS(Resp3[Vínculo],"docente",Resp3[3.06],B7)</f>
        <v>4</v>
      </c>
      <c r="E7" s="10">
        <f>COUNTIF(Resp3[3.06],B7)</f>
        <v>5</v>
      </c>
      <c r="F7" s="25">
        <f t="shared" ref="F7:F13" si="0">ROUND($E7/$E$13*100,2)</f>
        <v>14.71</v>
      </c>
      <c r="G7" s="25">
        <f>ROUND($E7/SUM($E$7:$E$12)*100,3)</f>
        <v>14.706</v>
      </c>
    </row>
    <row r="8" spans="1:7">
      <c r="B8" s="9" t="s">
        <v>20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COUNTIFS(Resp3[Vínculo],"tecnico",Resp3[3.06],B9)</f>
        <v>1</v>
      </c>
      <c r="D9" s="10">
        <f>COUNTIFS(Resp3[Vínculo],"docente",Resp3[3.06],B9)</f>
        <v>2</v>
      </c>
      <c r="E9" s="10">
        <f>COUNTIF(Resp3[3.06],B9)</f>
        <v>3</v>
      </c>
      <c r="F9" s="25">
        <f t="shared" si="0"/>
        <v>8.82</v>
      </c>
      <c r="G9" s="25">
        <f t="shared" si="1"/>
        <v>8.8239999999999998</v>
      </c>
    </row>
    <row r="10" spans="1:7">
      <c r="B10" s="9" t="s">
        <v>15</v>
      </c>
      <c r="C10" s="10">
        <f>COUNTIFS(Resp3[Vínculo],"tecnico",Resp3[3.06],B10)</f>
        <v>1</v>
      </c>
      <c r="D10" s="10">
        <f>COUNTIFS(Resp3[Vínculo],"docente",Resp3[3.06],B10)</f>
        <v>2</v>
      </c>
      <c r="E10" s="10">
        <f>COUNTIF(Resp3[3.06],B10)</f>
        <v>3</v>
      </c>
      <c r="F10" s="25">
        <f t="shared" si="0"/>
        <v>8.82</v>
      </c>
      <c r="G10" s="25">
        <f t="shared" si="1"/>
        <v>8.8239999999999998</v>
      </c>
    </row>
    <row r="11" spans="1:7">
      <c r="B11" s="9" t="s">
        <v>13</v>
      </c>
      <c r="C11" s="10">
        <f>COUNTIFS(Resp3[Vínculo],"tecnico",Resp3[3.06],B11)</f>
        <v>8</v>
      </c>
      <c r="D11" s="10">
        <f>COUNTIFS(Resp3[Vínculo],"docente",Resp3[3.06],B11)</f>
        <v>12</v>
      </c>
      <c r="E11" s="10">
        <f>COUNTIF(Resp3[3.06],B11)</f>
        <v>20</v>
      </c>
      <c r="F11" s="25">
        <f t="shared" si="0"/>
        <v>58.82</v>
      </c>
      <c r="G11" s="25">
        <f t="shared" si="1"/>
        <v>58.823999999999998</v>
      </c>
    </row>
    <row r="12" spans="1:7">
      <c r="B12" s="26" t="s">
        <v>23</v>
      </c>
      <c r="C12" s="10">
        <f>COUNTIFS(Resp3[Vínculo],"tecnico",Resp3[3.06],B12)</f>
        <v>3</v>
      </c>
      <c r="D12" s="10">
        <f>COUNTIFS(Resp3[Vínculo],"docente",Resp3[3.06],B12)</f>
        <v>0</v>
      </c>
      <c r="E12" s="10">
        <f>COUNTIF(Resp3[3.06],B12)</f>
        <v>3</v>
      </c>
      <c r="F12" s="102">
        <f t="shared" si="0"/>
        <v>8.82</v>
      </c>
      <c r="G12" s="25">
        <f t="shared" si="1"/>
        <v>8.8239999999999998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100.002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7.1429999999999998</v>
      </c>
    </row>
    <row r="21" spans="2:7">
      <c r="B21" s="31" t="s">
        <v>15</v>
      </c>
      <c r="C21" s="31" t="s">
        <v>90</v>
      </c>
      <c r="D21" s="15">
        <f>C10</f>
        <v>1</v>
      </c>
      <c r="E21" s="44">
        <f>ROUND(D21/SUM(D$19:D$22)*100,3)</f>
        <v>7.1429999999999998</v>
      </c>
    </row>
    <row r="22" spans="2:7">
      <c r="B22" s="32" t="s">
        <v>96</v>
      </c>
      <c r="C22" s="32" t="s">
        <v>95</v>
      </c>
      <c r="D22" s="33">
        <f>SUM(C11:C12)</f>
        <v>11</v>
      </c>
      <c r="E22" s="45">
        <f>ROUND(D22/SUM(D$19:D$22)*100,3)</f>
        <v>78.570999999999998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10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20</v>
      </c>
    </row>
    <row r="28" spans="2:7">
      <c r="B28" s="31" t="s">
        <v>15</v>
      </c>
      <c r="C28" s="31" t="s">
        <v>90</v>
      </c>
      <c r="D28" s="15">
        <f>SUM(D10)</f>
        <v>2</v>
      </c>
      <c r="E28" s="44">
        <f>ROUND(D28/SUM(D$26:D$29)*100,3)</f>
        <v>10</v>
      </c>
    </row>
    <row r="29" spans="2:7">
      <c r="B29" s="32" t="s">
        <v>96</v>
      </c>
      <c r="C29" s="32" t="s">
        <v>95</v>
      </c>
      <c r="D29" s="33">
        <f>SUM(D11:D12)</f>
        <v>12</v>
      </c>
      <c r="E29" s="45">
        <f>ROUND(D29/SUM(D$26:D$29)*100,3)</f>
        <v>60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COUNTIFS(Resp3[Vínculo],"tecnico",Resp3[3.07],B7)</f>
        <v>2</v>
      </c>
      <c r="D7" s="10">
        <f>COUNTIFS(Resp3[Vínculo],"docente",Resp3[3.07],B7)</f>
        <v>7</v>
      </c>
      <c r="E7" s="10">
        <f>COUNTIF(Resp3[3.07],B7)</f>
        <v>9</v>
      </c>
      <c r="F7" s="25">
        <f t="shared" ref="F7:F13" si="0">ROUND($E7/$E$13*100,2)</f>
        <v>26.47</v>
      </c>
      <c r="G7" s="25">
        <f>ROUND($E7/SUM($E$7:$E$12)*100,3)</f>
        <v>26.471</v>
      </c>
    </row>
    <row r="8" spans="1:7">
      <c r="B8" s="9" t="s">
        <v>20</v>
      </c>
      <c r="C8" s="10">
        <f>COUNTIFS(Resp3[Vínculo],"tecnico",Resp3[3.07],B8)</f>
        <v>0</v>
      </c>
      <c r="D8" s="10">
        <f>COUNTIFS(Resp3[Vínculo],"docente",Resp3[3.07],B8)</f>
        <v>1</v>
      </c>
      <c r="E8" s="10">
        <f>COUNTIF(Resp3[3.07],B8)</f>
        <v>1</v>
      </c>
      <c r="F8" s="25">
        <f t="shared" si="0"/>
        <v>2.94</v>
      </c>
      <c r="G8" s="25">
        <f t="shared" ref="G8:G12" si="1">ROUND($E8/SUM($E$7:$E$12)*100,3)</f>
        <v>2.9409999999999998</v>
      </c>
    </row>
    <row r="9" spans="1:7">
      <c r="B9" s="9" t="s">
        <v>19</v>
      </c>
      <c r="C9" s="10">
        <f>COUNTIFS(Resp3[Vínculo],"tecnico",Resp3[3.07],B9)</f>
        <v>0</v>
      </c>
      <c r="D9" s="10">
        <f>COUNTIFS(Resp3[Vínculo],"docente",Resp3[3.07],B9)</f>
        <v>1</v>
      </c>
      <c r="E9" s="10">
        <f>COUNTIF(Resp3[3.07],B9)</f>
        <v>1</v>
      </c>
      <c r="F9" s="25">
        <f t="shared" si="0"/>
        <v>2.94</v>
      </c>
      <c r="G9" s="25">
        <f t="shared" si="1"/>
        <v>2.9409999999999998</v>
      </c>
    </row>
    <row r="10" spans="1:7">
      <c r="B10" s="9" t="s">
        <v>15</v>
      </c>
      <c r="C10" s="10">
        <f>COUNTIFS(Resp3[Vínculo],"tecnico",Resp3[3.07],B10)</f>
        <v>5</v>
      </c>
      <c r="D10" s="10">
        <f>COUNTIFS(Resp3[Vínculo],"docente",Resp3[3.07],B10)</f>
        <v>4</v>
      </c>
      <c r="E10" s="10">
        <f>COUNTIF(Resp3[3.07],B10)</f>
        <v>9</v>
      </c>
      <c r="F10" s="25">
        <f t="shared" si="0"/>
        <v>26.47</v>
      </c>
      <c r="G10" s="25">
        <f t="shared" si="1"/>
        <v>26.471</v>
      </c>
    </row>
    <row r="11" spans="1:7">
      <c r="B11" s="9" t="s">
        <v>13</v>
      </c>
      <c r="C11" s="10">
        <f>COUNTIFS(Resp3[Vínculo],"tecnico",Resp3[3.07],B11)</f>
        <v>5</v>
      </c>
      <c r="D11" s="10">
        <f>COUNTIFS(Resp3[Vínculo],"docente",Resp3[3.07],B11)</f>
        <v>6</v>
      </c>
      <c r="E11" s="10">
        <f>COUNTIF(Resp3[3.07],B11)</f>
        <v>11</v>
      </c>
      <c r="F11" s="25">
        <f t="shared" si="0"/>
        <v>32.35</v>
      </c>
      <c r="G11" s="25">
        <f t="shared" si="1"/>
        <v>32.353000000000002</v>
      </c>
    </row>
    <row r="12" spans="1:7">
      <c r="B12" s="26" t="s">
        <v>23</v>
      </c>
      <c r="C12" s="10">
        <f>COUNTIFS(Resp3[Vínculo],"tecnico",Resp3[3.07],B12)</f>
        <v>2</v>
      </c>
      <c r="D12" s="10">
        <f>COUNTIFS(Resp3[Vínculo],"docente",Resp3[3.07],B12)</f>
        <v>1</v>
      </c>
      <c r="E12" s="10">
        <f>COUNTIF(Resp3[3.07],B12)</f>
        <v>3</v>
      </c>
      <c r="F12" s="102">
        <f t="shared" si="0"/>
        <v>8.82</v>
      </c>
      <c r="G12" s="25">
        <f t="shared" si="1"/>
        <v>8.8239999999999998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100.00099999999999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14.286</v>
      </c>
    </row>
    <row r="21" spans="2:7">
      <c r="B21" s="31" t="s">
        <v>15</v>
      </c>
      <c r="C21" s="31" t="s">
        <v>90</v>
      </c>
      <c r="D21" s="15">
        <f>C10</f>
        <v>5</v>
      </c>
      <c r="E21" s="44">
        <f>ROUND(D21/SUM(D$19:D$22)*100,3)</f>
        <v>35.713999999999999</v>
      </c>
    </row>
    <row r="22" spans="2:7">
      <c r="B22" s="32" t="s">
        <v>96</v>
      </c>
      <c r="C22" s="32" t="s">
        <v>95</v>
      </c>
      <c r="D22" s="33">
        <f>SUM(C11:C12)</f>
        <v>7</v>
      </c>
      <c r="E22" s="45">
        <f>ROUND(D22/SUM(D$19:D$22)*100,3)</f>
        <v>50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10</v>
      </c>
    </row>
    <row r="27" spans="2:7">
      <c r="B27" s="30" t="s">
        <v>181</v>
      </c>
      <c r="C27" s="30" t="s">
        <v>78</v>
      </c>
      <c r="D27" s="15">
        <f>D7</f>
        <v>7</v>
      </c>
      <c r="E27" s="44">
        <f>ROUND(D27/SUM(D$26:D$29)*100,3)</f>
        <v>35</v>
      </c>
    </row>
    <row r="28" spans="2:7">
      <c r="B28" s="31" t="s">
        <v>15</v>
      </c>
      <c r="C28" s="31" t="s">
        <v>90</v>
      </c>
      <c r="D28" s="15">
        <f>SUM(D10)</f>
        <v>4</v>
      </c>
      <c r="E28" s="44">
        <f>ROUND(D28/SUM(D$26:D$29)*100,3)</f>
        <v>20</v>
      </c>
    </row>
    <row r="29" spans="2:7">
      <c r="B29" s="32" t="s">
        <v>96</v>
      </c>
      <c r="C29" s="32" t="s">
        <v>95</v>
      </c>
      <c r="D29" s="33">
        <f>SUM(D11:D12)</f>
        <v>7</v>
      </c>
      <c r="E29" s="45">
        <f>ROUND(D29/SUM(D$26:D$29)*100,3)</f>
        <v>35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COUNTIFS(Resp3[Vínculo],"tecnico",Resp3[3.08],B7)</f>
        <v>1</v>
      </c>
      <c r="D7" s="10">
        <f>COUNTIFS(Resp3[Vínculo],"docente",Resp3[3.08],B7)</f>
        <v>1</v>
      </c>
      <c r="E7" s="10">
        <f>COUNTIF(Resp3[3.08],B7)</f>
        <v>2</v>
      </c>
      <c r="F7" s="25">
        <f t="shared" ref="F7:F13" si="0">ROUND($E7/$E$13*100,2)</f>
        <v>5.88</v>
      </c>
      <c r="G7" s="25">
        <f>ROUND($E7/SUM($E$7:$E$12)*100,3)</f>
        <v>5.8819999999999997</v>
      </c>
    </row>
    <row r="8" spans="1:7">
      <c r="B8" s="9" t="s">
        <v>20</v>
      </c>
      <c r="C8" s="10">
        <f>COUNTIFS(Resp3[Vínculo],"tecnico",Resp3[3.08],B8)</f>
        <v>1</v>
      </c>
      <c r="D8" s="10">
        <f>COUNTIFS(Resp3[Vínculo],"docente",Resp3[3.08],B8)</f>
        <v>1</v>
      </c>
      <c r="E8" s="10">
        <f>COUNTIF(Resp3[3.08],B8)</f>
        <v>2</v>
      </c>
      <c r="F8" s="25">
        <f t="shared" si="0"/>
        <v>5.88</v>
      </c>
      <c r="G8" s="25">
        <f t="shared" ref="G8:G12" si="1">ROUND($E8/SUM($E$7:$E$12)*100,3)</f>
        <v>5.8819999999999997</v>
      </c>
    </row>
    <row r="9" spans="1:7">
      <c r="B9" s="9" t="s">
        <v>19</v>
      </c>
      <c r="C9" s="10">
        <f>COUNTIFS(Resp3[Vínculo],"tecnico",Resp3[3.08],B9)</f>
        <v>1</v>
      </c>
      <c r="D9" s="10">
        <f>COUNTIFS(Resp3[Vínculo],"docente",Resp3[3.08],B9)</f>
        <v>3</v>
      </c>
      <c r="E9" s="10">
        <f>COUNTIF(Resp3[3.08],B9)</f>
        <v>4</v>
      </c>
      <c r="F9" s="25">
        <f t="shared" si="0"/>
        <v>11.76</v>
      </c>
      <c r="G9" s="25">
        <f t="shared" si="1"/>
        <v>11.765000000000001</v>
      </c>
    </row>
    <row r="10" spans="1:7">
      <c r="B10" s="9" t="s">
        <v>15</v>
      </c>
      <c r="C10" s="10">
        <f>COUNTIFS(Resp3[Vínculo],"tecnico",Resp3[3.08],B10)</f>
        <v>3</v>
      </c>
      <c r="D10" s="10">
        <f>COUNTIFS(Resp3[Vínculo],"docente",Resp3[3.08],B10)</f>
        <v>7</v>
      </c>
      <c r="E10" s="10">
        <f>COUNTIF(Resp3[3.08],B10)</f>
        <v>10</v>
      </c>
      <c r="F10" s="25">
        <f t="shared" si="0"/>
        <v>29.41</v>
      </c>
      <c r="G10" s="25">
        <f t="shared" si="1"/>
        <v>29.411999999999999</v>
      </c>
    </row>
    <row r="11" spans="1:7">
      <c r="B11" s="9" t="s">
        <v>13</v>
      </c>
      <c r="C11" s="10">
        <f>COUNTIFS(Resp3[Vínculo],"tecnico",Resp3[3.08],B11)</f>
        <v>5</v>
      </c>
      <c r="D11" s="10">
        <f>COUNTIFS(Resp3[Vínculo],"docente",Resp3[3.08],B11)</f>
        <v>7</v>
      </c>
      <c r="E11" s="10">
        <f>COUNTIF(Resp3[3.08],B11)</f>
        <v>12</v>
      </c>
      <c r="F11" s="25">
        <f t="shared" si="0"/>
        <v>35.29</v>
      </c>
      <c r="G11" s="25">
        <f t="shared" si="1"/>
        <v>35.293999999999997</v>
      </c>
    </row>
    <row r="12" spans="1:7">
      <c r="B12" s="26" t="s">
        <v>23</v>
      </c>
      <c r="C12" s="10">
        <f>COUNTIFS(Resp3[Vínculo],"tecnico",Resp3[3.08],B12)</f>
        <v>3</v>
      </c>
      <c r="D12" s="10">
        <f>COUNTIFS(Resp3[Vínculo],"docente",Resp3[3.08],B12)</f>
        <v>1</v>
      </c>
      <c r="E12" s="10">
        <f>COUNTIF(Resp3[3.08],B12)</f>
        <v>4</v>
      </c>
      <c r="F12" s="102">
        <f t="shared" si="0"/>
        <v>11.76</v>
      </c>
      <c r="G12" s="25">
        <f t="shared" si="1"/>
        <v>11.765000000000001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14.286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7.1429999999999998</v>
      </c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21.428999999999998</v>
      </c>
    </row>
    <row r="22" spans="2:7">
      <c r="B22" s="32" t="s">
        <v>96</v>
      </c>
      <c r="C22" s="32" t="s">
        <v>95</v>
      </c>
      <c r="D22" s="33">
        <f>SUM(C11:C12)</f>
        <v>8</v>
      </c>
      <c r="E22" s="45">
        <f>ROUND(D22/SUM(D$19:D$22)*100,3)</f>
        <v>57.143000000000001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4</v>
      </c>
      <c r="E26" s="44">
        <f>ROUND(D26/SUM(D$26:D$29)*100,3)</f>
        <v>20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5</v>
      </c>
    </row>
    <row r="28" spans="2:7">
      <c r="B28" s="31" t="s">
        <v>15</v>
      </c>
      <c r="C28" s="31" t="s">
        <v>90</v>
      </c>
      <c r="D28" s="15">
        <f>SUM(D10)</f>
        <v>7</v>
      </c>
      <c r="E28" s="44">
        <f>ROUND(D28/SUM(D$26:D$29)*100,3)</f>
        <v>35</v>
      </c>
    </row>
    <row r="29" spans="2:7">
      <c r="B29" s="32" t="s">
        <v>96</v>
      </c>
      <c r="C29" s="32" t="s">
        <v>95</v>
      </c>
      <c r="D29" s="33">
        <f>SUM(D11:D12)</f>
        <v>8</v>
      </c>
      <c r="E29" s="45">
        <f>ROUND(D29/SUM(D$26:D$29)*100,3)</f>
        <v>40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COUNTIFS(Resp3[Vínculo],"tecnico",Resp3[3.09],B7)</f>
        <v>1</v>
      </c>
      <c r="D7" s="10">
        <f>COUNTIFS(Resp3[Vínculo],"docente",Resp3[3.09],B7)</f>
        <v>1</v>
      </c>
      <c r="E7" s="10">
        <f>COUNTIF(Resp3[3.09],B7)</f>
        <v>2</v>
      </c>
      <c r="F7" s="25">
        <f t="shared" ref="F7:F13" si="0">ROUND($E7/$E$13*100,2)</f>
        <v>5.88</v>
      </c>
      <c r="G7" s="25">
        <f>ROUND($E7/SUM($E$7:$E$12)*100,3)</f>
        <v>5.8819999999999997</v>
      </c>
    </row>
    <row r="8" spans="1:7">
      <c r="B8" s="9" t="s">
        <v>20</v>
      </c>
      <c r="C8" s="10">
        <f>COUNTIFS(Resp3[Vínculo],"tecnico",Resp3[3.09],B8)</f>
        <v>0</v>
      </c>
      <c r="D8" s="10">
        <f>COUNTIFS(Resp3[Vínculo],"docente",Resp3[3.09],B8)</f>
        <v>2</v>
      </c>
      <c r="E8" s="10">
        <f>COUNTIF(Resp3[3.09],B8)</f>
        <v>2</v>
      </c>
      <c r="F8" s="25">
        <f t="shared" si="0"/>
        <v>5.88</v>
      </c>
      <c r="G8" s="25">
        <f t="shared" ref="G8:G12" si="1">ROUND($E8/SUM($E$7:$E$12)*100,3)</f>
        <v>5.8819999999999997</v>
      </c>
    </row>
    <row r="9" spans="1:7">
      <c r="B9" s="9" t="s">
        <v>19</v>
      </c>
      <c r="C9" s="10">
        <f>COUNTIFS(Resp3[Vínculo],"tecnico",Resp3[3.09],B9)</f>
        <v>1</v>
      </c>
      <c r="D9" s="10">
        <f>COUNTIFS(Resp3[Vínculo],"docente",Resp3[3.09],B9)</f>
        <v>3</v>
      </c>
      <c r="E9" s="10">
        <f>COUNTIF(Resp3[3.09],B9)</f>
        <v>4</v>
      </c>
      <c r="F9" s="25">
        <f t="shared" si="0"/>
        <v>11.76</v>
      </c>
      <c r="G9" s="25">
        <f t="shared" si="1"/>
        <v>11.765000000000001</v>
      </c>
    </row>
    <row r="10" spans="1:7">
      <c r="B10" s="9" t="s">
        <v>15</v>
      </c>
      <c r="C10" s="10">
        <f>COUNTIFS(Resp3[Vínculo],"tecnico",Resp3[3.09],B10)</f>
        <v>4</v>
      </c>
      <c r="D10" s="10">
        <f>COUNTIFS(Resp3[Vínculo],"docente",Resp3[3.09],B10)</f>
        <v>6</v>
      </c>
      <c r="E10" s="10">
        <f>COUNTIF(Resp3[3.09],B10)</f>
        <v>10</v>
      </c>
      <c r="F10" s="25">
        <f t="shared" si="0"/>
        <v>29.41</v>
      </c>
      <c r="G10" s="25">
        <f t="shared" si="1"/>
        <v>29.411999999999999</v>
      </c>
    </row>
    <row r="11" spans="1:7">
      <c r="B11" s="9" t="s">
        <v>13</v>
      </c>
      <c r="C11" s="10">
        <f>COUNTIFS(Resp3[Vínculo],"tecnico",Resp3[3.09],B11)</f>
        <v>5</v>
      </c>
      <c r="D11" s="10">
        <f>COUNTIFS(Resp3[Vínculo],"docente",Resp3[3.09],B11)</f>
        <v>8</v>
      </c>
      <c r="E11" s="10">
        <f>COUNTIF(Resp3[3.09],B11)</f>
        <v>13</v>
      </c>
      <c r="F11" s="25">
        <f t="shared" si="0"/>
        <v>38.24</v>
      </c>
      <c r="G11" s="25">
        <f t="shared" si="1"/>
        <v>38.234999999999999</v>
      </c>
    </row>
    <row r="12" spans="1:7">
      <c r="B12" s="26" t="s">
        <v>23</v>
      </c>
      <c r="C12" s="10">
        <f>COUNTIFS(Resp3[Vínculo],"tecnico",Resp3[3.09],B12)</f>
        <v>3</v>
      </c>
      <c r="D12" s="10">
        <f>COUNTIFS(Resp3[Vínculo],"docente",Resp3[3.09],B12)</f>
        <v>0</v>
      </c>
      <c r="E12" s="10">
        <f>COUNTIF(Resp3[3.09],B12)</f>
        <v>3</v>
      </c>
      <c r="F12" s="102">
        <f t="shared" si="0"/>
        <v>8.82</v>
      </c>
      <c r="G12" s="25">
        <f t="shared" si="1"/>
        <v>8.8239999999999998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10">
        <f>ROUND(D20/SUM(D$19:D$22)*100,3)</f>
        <v>7.1429999999999998</v>
      </c>
    </row>
    <row r="21" spans="2:7">
      <c r="B21" s="31" t="s">
        <v>15</v>
      </c>
      <c r="C21" s="31" t="s">
        <v>90</v>
      </c>
      <c r="D21" s="15">
        <f>C10</f>
        <v>4</v>
      </c>
      <c r="E21" s="10">
        <f>ROUND(D21/SUM(D$19:D$22)*100,3)</f>
        <v>28.571000000000002</v>
      </c>
    </row>
    <row r="22" spans="2:7">
      <c r="B22" s="32" t="s">
        <v>96</v>
      </c>
      <c r="C22" s="32" t="s">
        <v>95</v>
      </c>
      <c r="D22" s="33">
        <f>SUM(C11:C12)</f>
        <v>8</v>
      </c>
      <c r="E22" s="34">
        <f>ROUND(D22/SUM(D$19:D$22)*100,3)</f>
        <v>57.143000000000001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25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5</v>
      </c>
    </row>
    <row r="28" spans="2:7">
      <c r="B28" s="31" t="s">
        <v>15</v>
      </c>
      <c r="C28" s="31" t="s">
        <v>90</v>
      </c>
      <c r="D28" s="15">
        <f>SUM(D10)</f>
        <v>6</v>
      </c>
      <c r="E28" s="44">
        <f>ROUND(D28/SUM(D$26:D$29)*100,3)</f>
        <v>30</v>
      </c>
    </row>
    <row r="29" spans="2:7">
      <c r="B29" s="32" t="s">
        <v>96</v>
      </c>
      <c r="C29" s="32" t="s">
        <v>95</v>
      </c>
      <c r="D29" s="33">
        <f>SUM(D11:D12)</f>
        <v>8</v>
      </c>
      <c r="E29" s="45">
        <f>ROUND(D29/SUM(D$26:D$29)*100,3)</f>
        <v>40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COUNTIFS(Resp3[Vínculo],"tecnico",Resp3[3.10],B7)</f>
        <v>1</v>
      </c>
      <c r="D7" s="10">
        <f>COUNTIFS(Resp3[Vínculo],"docente",Resp3[3.10],B7)</f>
        <v>3</v>
      </c>
      <c r="E7" s="10">
        <f>COUNTIF(Resp3[3.10],B7)</f>
        <v>4</v>
      </c>
      <c r="F7" s="25">
        <f t="shared" ref="F7:F13" si="0">ROUND($E7/$E$13*100,2)</f>
        <v>11.76</v>
      </c>
      <c r="G7" s="25">
        <f>ROUND($E7/SUM($E$7:$E$12)*100,3)</f>
        <v>11.765000000000001</v>
      </c>
    </row>
    <row r="8" spans="1:7">
      <c r="B8" s="9" t="s">
        <v>20</v>
      </c>
      <c r="C8" s="10">
        <f>COUNTIFS(Resp3[Vínculo],"tecnico",Resp3[3.10],B8)</f>
        <v>1</v>
      </c>
      <c r="D8" s="10">
        <f>COUNTIFS(Resp3[Vínculo],"docente",Resp3[3.10],B8)</f>
        <v>2</v>
      </c>
      <c r="E8" s="10">
        <f>COUNTIF(Resp3[3.10],B8)</f>
        <v>3</v>
      </c>
      <c r="F8" s="25">
        <f t="shared" si="0"/>
        <v>8.82</v>
      </c>
      <c r="G8" s="25">
        <f t="shared" ref="G8:G12" si="1">ROUND($E8/SUM($E$7:$E$12)*100,3)</f>
        <v>8.8239999999999998</v>
      </c>
    </row>
    <row r="9" spans="1:7">
      <c r="B9" s="9" t="s">
        <v>19</v>
      </c>
      <c r="C9" s="10">
        <f>COUNTIFS(Resp3[Vínculo],"tecnico",Resp3[3.10],B9)</f>
        <v>2</v>
      </c>
      <c r="D9" s="10">
        <f>COUNTIFS(Resp3[Vínculo],"docente",Resp3[3.10],B9)</f>
        <v>1</v>
      </c>
      <c r="E9" s="10">
        <f>COUNTIF(Resp3[3.10],B9)</f>
        <v>3</v>
      </c>
      <c r="F9" s="25">
        <f t="shared" si="0"/>
        <v>8.82</v>
      </c>
      <c r="G9" s="25">
        <f t="shared" si="1"/>
        <v>8.8239999999999998</v>
      </c>
    </row>
    <row r="10" spans="1:7">
      <c r="B10" s="9" t="s">
        <v>15</v>
      </c>
      <c r="C10" s="10">
        <f>COUNTIFS(Resp3[Vínculo],"tecnico",Resp3[3.10],B10)</f>
        <v>3</v>
      </c>
      <c r="D10" s="10">
        <f>COUNTIFS(Resp3[Vínculo],"docente",Resp3[3.10],B10)</f>
        <v>7</v>
      </c>
      <c r="E10" s="10">
        <f>COUNTIF(Resp3[3.10],B10)</f>
        <v>10</v>
      </c>
      <c r="F10" s="25">
        <f t="shared" si="0"/>
        <v>29.41</v>
      </c>
      <c r="G10" s="25">
        <f t="shared" si="1"/>
        <v>29.411999999999999</v>
      </c>
    </row>
    <row r="11" spans="1:7">
      <c r="B11" s="9" t="s">
        <v>13</v>
      </c>
      <c r="C11" s="10">
        <f>COUNTIFS(Resp3[Vínculo],"tecnico",Resp3[3.10],B11)</f>
        <v>5</v>
      </c>
      <c r="D11" s="10">
        <f>COUNTIFS(Resp3[Vínculo],"docente",Resp3[3.10],B11)</f>
        <v>6</v>
      </c>
      <c r="E11" s="10">
        <f>COUNTIF(Resp3[3.10],B11)</f>
        <v>11</v>
      </c>
      <c r="F11" s="25">
        <f t="shared" si="0"/>
        <v>32.35</v>
      </c>
      <c r="G11" s="25">
        <f t="shared" si="1"/>
        <v>32.353000000000002</v>
      </c>
    </row>
    <row r="12" spans="1:7">
      <c r="B12" s="26" t="s">
        <v>23</v>
      </c>
      <c r="C12" s="10">
        <f>COUNTIFS(Resp3[Vínculo],"tecnico",Resp3[3.10],B12)</f>
        <v>2</v>
      </c>
      <c r="D12" s="10">
        <f>COUNTIFS(Resp3[Vínculo],"docente",Resp3[3.10],B12)</f>
        <v>1</v>
      </c>
      <c r="E12" s="10">
        <f>COUNTIF(Resp3[3.10],B12)</f>
        <v>3</v>
      </c>
      <c r="F12" s="102">
        <f t="shared" si="0"/>
        <v>8.82</v>
      </c>
      <c r="G12" s="25">
        <f t="shared" si="1"/>
        <v>8.8239999999999998</v>
      </c>
    </row>
    <row r="13" spans="1:7">
      <c r="B13" s="27" t="s">
        <v>167</v>
      </c>
      <c r="C13" s="11">
        <f>SUM(C6:C12)</f>
        <v>14</v>
      </c>
      <c r="D13" s="11">
        <f>SUM(D6:D12)</f>
        <v>20</v>
      </c>
      <c r="E13" s="11">
        <f>SUM(C13:D13)</f>
        <v>34</v>
      </c>
      <c r="F13" s="105">
        <f t="shared" si="0"/>
        <v>100</v>
      </c>
      <c r="G13" s="107">
        <f>SUM(G7:G12)</f>
        <v>100.002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3</v>
      </c>
      <c r="E19" s="12">
        <f>ROUND(D19/SUM(D$19:D$22)*100,3)</f>
        <v>21.428999999999998</v>
      </c>
    </row>
    <row r="20" spans="2:5">
      <c r="B20" s="30" t="s">
        <v>181</v>
      </c>
      <c r="C20" s="30" t="s">
        <v>78</v>
      </c>
      <c r="D20" s="15">
        <f>C7</f>
        <v>1</v>
      </c>
      <c r="E20" s="10">
        <f>ROUND(D20/SUM(D$19:D$22)*100,3)</f>
        <v>7.1429999999999998</v>
      </c>
    </row>
    <row r="21" spans="2:5">
      <c r="B21" s="31" t="s">
        <v>15</v>
      </c>
      <c r="C21" s="31" t="s">
        <v>90</v>
      </c>
      <c r="D21" s="15">
        <f>C10</f>
        <v>3</v>
      </c>
      <c r="E21" s="10">
        <f>ROUND(D21/SUM(D$19:D$22)*100,3)</f>
        <v>21.428999999999998</v>
      </c>
    </row>
    <row r="22" spans="2:5">
      <c r="B22" s="32" t="s">
        <v>96</v>
      </c>
      <c r="C22" s="32" t="s">
        <v>95</v>
      </c>
      <c r="D22" s="33">
        <f>SUM(C11:C12)</f>
        <v>7</v>
      </c>
      <c r="E22" s="34">
        <f>ROUND(D22/SUM(D$19:D$22)*100,3)</f>
        <v>50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15</v>
      </c>
    </row>
    <row r="27" spans="2:5">
      <c r="B27" s="30" t="s">
        <v>181</v>
      </c>
      <c r="C27" s="30" t="s">
        <v>78</v>
      </c>
      <c r="D27" s="15">
        <f>D7</f>
        <v>3</v>
      </c>
      <c r="E27" s="44">
        <f>ROUND(D27/SUM(D$26:D$29)*100,3)</f>
        <v>15</v>
      </c>
    </row>
    <row r="28" spans="2:5">
      <c r="B28" s="31" t="s">
        <v>15</v>
      </c>
      <c r="C28" s="31" t="s">
        <v>90</v>
      </c>
      <c r="D28" s="15">
        <f>SUM(D10)</f>
        <v>7</v>
      </c>
      <c r="E28" s="44">
        <f>ROUND(D28/SUM(D$26:D$29)*100,3)</f>
        <v>35</v>
      </c>
    </row>
    <row r="29" spans="2:5">
      <c r="B29" s="32" t="s">
        <v>96</v>
      </c>
      <c r="C29" s="32" t="s">
        <v>95</v>
      </c>
      <c r="D29" s="33">
        <f>SUM(D11:D12)</f>
        <v>7</v>
      </c>
      <c r="E29" s="45">
        <f>ROUND(D29/SUM(D$26:D$29)*100,3)</f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2022-01-14T17:02:27Z</dcterms:modified>
  <cp:category/>
  <cp:contentStatus/>
</cp:coreProperties>
</file>