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PONTAL DO PARANÁ/"/>
    </mc:Choice>
  </mc:AlternateContent>
  <xr:revisionPtr revIDLastSave="7" documentId="11_446940E184585FC48CDEBB58F0FA55B72788CF97" xr6:coauthVersionLast="47" xr6:coauthVersionMax="47" xr10:uidLastSave="{4838FEAD-DD18-4554-98B2-027D81520D39}"/>
  <bookViews>
    <workbookView xWindow="21765" yWindow="585" windowWidth="24600" windowHeight="13530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195PP-CEM" sheetId="203" r:id="rId5"/>
    <sheet name="Q5.196" sheetId="204" r:id="rId6"/>
    <sheet name="Q5.197" sheetId="205" r:id="rId7"/>
    <sheet name="Q5.198" sheetId="206" r:id="rId8"/>
    <sheet name="Q5.199" sheetId="207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C8" i="207" l="1"/>
  <c r="D8" i="207"/>
  <c r="E8" i="207"/>
  <c r="C9" i="207"/>
  <c r="D17" i="207" s="1"/>
  <c r="D9" i="207"/>
  <c r="D23" i="207" s="1"/>
  <c r="E9" i="207"/>
  <c r="C10" i="207"/>
  <c r="D10" i="207"/>
  <c r="E10" i="207"/>
  <c r="C11" i="207"/>
  <c r="D11" i="207"/>
  <c r="E11" i="207"/>
  <c r="E7" i="207"/>
  <c r="D7" i="207"/>
  <c r="D24" i="207" s="1"/>
  <c r="C7" i="207"/>
  <c r="D18" i="207" s="1"/>
  <c r="A2" i="207"/>
  <c r="C8" i="206"/>
  <c r="D8" i="206"/>
  <c r="E8" i="206"/>
  <c r="C9" i="206"/>
  <c r="D17" i="206" s="1"/>
  <c r="D9" i="206"/>
  <c r="D23" i="206" s="1"/>
  <c r="E9" i="206"/>
  <c r="C10" i="206"/>
  <c r="D10" i="206"/>
  <c r="E10" i="206"/>
  <c r="C11" i="206"/>
  <c r="D11" i="206"/>
  <c r="E11" i="206"/>
  <c r="E7" i="206"/>
  <c r="D7" i="206"/>
  <c r="D24" i="206" s="1"/>
  <c r="C7" i="206"/>
  <c r="A2" i="206"/>
  <c r="C8" i="205"/>
  <c r="D8" i="205"/>
  <c r="E8" i="205"/>
  <c r="C9" i="205"/>
  <c r="D17" i="205" s="1"/>
  <c r="D9" i="205"/>
  <c r="D23" i="205" s="1"/>
  <c r="E9" i="205"/>
  <c r="C10" i="205"/>
  <c r="D10" i="205"/>
  <c r="E10" i="205"/>
  <c r="C11" i="205"/>
  <c r="D11" i="205"/>
  <c r="E11" i="205"/>
  <c r="E7" i="205"/>
  <c r="D7" i="205"/>
  <c r="C7" i="205"/>
  <c r="A2" i="205"/>
  <c r="C8" i="204"/>
  <c r="D8" i="204"/>
  <c r="E8" i="204"/>
  <c r="C9" i="204"/>
  <c r="D9" i="204"/>
  <c r="D23" i="204" s="1"/>
  <c r="E9" i="204"/>
  <c r="C10" i="204"/>
  <c r="D10" i="204"/>
  <c r="E10" i="204"/>
  <c r="C11" i="204"/>
  <c r="D11" i="204"/>
  <c r="E11" i="204"/>
  <c r="E7" i="204"/>
  <c r="D7" i="204"/>
  <c r="C7" i="204"/>
  <c r="D17" i="204"/>
  <c r="A2" i="204"/>
  <c r="C8" i="203"/>
  <c r="D8" i="203"/>
  <c r="E8" i="203"/>
  <c r="E7" i="203"/>
  <c r="D7" i="203"/>
  <c r="C7" i="203"/>
  <c r="A2" i="203"/>
  <c r="E11" i="6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D6" i="203" l="1"/>
  <c r="D9" i="203" s="1"/>
  <c r="D6" i="204"/>
  <c r="D12" i="204" s="1"/>
  <c r="D18" i="205"/>
  <c r="D16" i="205"/>
  <c r="D22" i="206"/>
  <c r="D6" i="207"/>
  <c r="D12" i="207" s="1"/>
  <c r="C6" i="203"/>
  <c r="C9" i="203" s="1"/>
  <c r="D16" i="207"/>
  <c r="E6" i="61"/>
  <c r="D23" i="61"/>
  <c r="D18" i="206"/>
  <c r="D6" i="61"/>
  <c r="D19" i="61"/>
  <c r="C6" i="204"/>
  <c r="C12" i="204" s="1"/>
  <c r="D22" i="204"/>
  <c r="D16" i="204"/>
  <c r="D24" i="204"/>
  <c r="C6" i="205"/>
  <c r="C12" i="205" s="1"/>
  <c r="D22" i="205"/>
  <c r="D6" i="206"/>
  <c r="D12" i="206" s="1"/>
  <c r="D22" i="207"/>
  <c r="D6" i="205"/>
  <c r="D12" i="205" s="1"/>
  <c r="D16" i="206"/>
  <c r="C6" i="206"/>
  <c r="C12" i="206" s="1"/>
  <c r="C6" i="207"/>
  <c r="C12" i="207" s="1"/>
  <c r="D18" i="204"/>
  <c r="E18" i="204" s="1"/>
  <c r="C6" i="61"/>
  <c r="C12" i="61" s="1"/>
  <c r="D26" i="61"/>
  <c r="D16" i="61"/>
  <c r="E9" i="203"/>
  <c r="F9" i="203" s="1"/>
  <c r="D24" i="205"/>
  <c r="E23" i="205" s="1"/>
  <c r="B3" i="207"/>
  <c r="B2" i="207"/>
  <c r="E18" i="207"/>
  <c r="I12" i="207"/>
  <c r="C28" i="207" s="1"/>
  <c r="J8" i="207"/>
  <c r="J7" i="207"/>
  <c r="H7" i="207"/>
  <c r="G7" i="207"/>
  <c r="H8" i="207"/>
  <c r="G8" i="207"/>
  <c r="J9" i="207"/>
  <c r="H9" i="207"/>
  <c r="G9" i="207"/>
  <c r="J10" i="207"/>
  <c r="H10" i="207"/>
  <c r="G10" i="207"/>
  <c r="J11" i="207"/>
  <c r="H11" i="207"/>
  <c r="G11" i="207"/>
  <c r="B3" i="206"/>
  <c r="B2" i="206"/>
  <c r="E18" i="206"/>
  <c r="I12" i="206"/>
  <c r="C28" i="206" s="1"/>
  <c r="J8" i="206"/>
  <c r="J7" i="206"/>
  <c r="H7" i="206"/>
  <c r="G7" i="206"/>
  <c r="H8" i="206"/>
  <c r="G8" i="206"/>
  <c r="E23" i="206"/>
  <c r="J9" i="206"/>
  <c r="H9" i="206"/>
  <c r="G9" i="206"/>
  <c r="J10" i="206"/>
  <c r="H10" i="206"/>
  <c r="G10" i="206"/>
  <c r="J11" i="206"/>
  <c r="H11" i="206"/>
  <c r="G11" i="206"/>
  <c r="B3" i="205"/>
  <c r="B2" i="205"/>
  <c r="E18" i="205"/>
  <c r="I12" i="205"/>
  <c r="C28" i="205" s="1"/>
  <c r="J8" i="205"/>
  <c r="J7" i="205"/>
  <c r="H7" i="205"/>
  <c r="G7" i="205"/>
  <c r="H8" i="205"/>
  <c r="G8" i="205"/>
  <c r="E17" i="205"/>
  <c r="J9" i="205"/>
  <c r="H9" i="205"/>
  <c r="G9" i="205"/>
  <c r="J10" i="205"/>
  <c r="H10" i="205"/>
  <c r="G10" i="205"/>
  <c r="J11" i="205"/>
  <c r="H11" i="205"/>
  <c r="G11" i="205"/>
  <c r="B3" i="204"/>
  <c r="B2" i="204"/>
  <c r="I12" i="204"/>
  <c r="C28" i="204" s="1"/>
  <c r="J8" i="204"/>
  <c r="J7" i="204"/>
  <c r="H7" i="204"/>
  <c r="G7" i="204"/>
  <c r="H8" i="204"/>
  <c r="G8" i="204"/>
  <c r="J9" i="204"/>
  <c r="H9" i="204"/>
  <c r="G9" i="204"/>
  <c r="J10" i="204"/>
  <c r="H10" i="204"/>
  <c r="G10" i="204"/>
  <c r="J11" i="204"/>
  <c r="H11" i="204"/>
  <c r="G11" i="204"/>
  <c r="B3" i="203"/>
  <c r="B2" i="203"/>
  <c r="G7" i="203"/>
  <c r="G8" i="203"/>
  <c r="B3" i="61"/>
  <c r="B2" i="61"/>
  <c r="D17" i="61"/>
  <c r="D24" i="61"/>
  <c r="D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E17" i="61" l="1"/>
  <c r="E16" i="204"/>
  <c r="E16" i="205"/>
  <c r="E23" i="207"/>
  <c r="E24" i="207"/>
  <c r="E18" i="61"/>
  <c r="F7" i="203"/>
  <c r="E17" i="206"/>
  <c r="E24" i="206"/>
  <c r="E23" i="204"/>
  <c r="E24" i="61"/>
  <c r="E25" i="61"/>
  <c r="E24" i="205"/>
  <c r="E17" i="204"/>
  <c r="E24" i="204"/>
  <c r="E16" i="207"/>
  <c r="E16" i="206"/>
  <c r="E17" i="207"/>
  <c r="E16" i="61"/>
  <c r="E26" i="61"/>
  <c r="C85" i="206"/>
  <c r="C85" i="205"/>
  <c r="C85" i="204"/>
  <c r="C85" i="207"/>
  <c r="F8" i="203"/>
  <c r="E6" i="203"/>
  <c r="F6" i="203" s="1"/>
  <c r="E19" i="61"/>
  <c r="E22" i="204"/>
  <c r="E22" i="205"/>
  <c r="E22" i="206"/>
  <c r="E22" i="207"/>
  <c r="G12" i="207"/>
  <c r="H12" i="207"/>
  <c r="D28" i="207" s="1"/>
  <c r="J12" i="207"/>
  <c r="E28" i="207" s="1"/>
  <c r="E12" i="207"/>
  <c r="G12" i="206"/>
  <c r="H12" i="206"/>
  <c r="D28" i="206" s="1"/>
  <c r="J12" i="206"/>
  <c r="E28" i="206" s="1"/>
  <c r="E12" i="206"/>
  <c r="G12" i="205"/>
  <c r="H12" i="205"/>
  <c r="D28" i="205" s="1"/>
  <c r="J12" i="205"/>
  <c r="E28" i="205" s="1"/>
  <c r="E12" i="205"/>
  <c r="G12" i="204"/>
  <c r="H12" i="204"/>
  <c r="D28" i="204" s="1"/>
  <c r="J12" i="204"/>
  <c r="E28" i="204" s="1"/>
  <c r="E12" i="204"/>
  <c r="G9" i="203"/>
  <c r="E23" i="61"/>
  <c r="G12" i="61"/>
  <c r="H12" i="61"/>
  <c r="D30" i="61" s="1"/>
  <c r="J12" i="61"/>
  <c r="E30" i="61" s="1"/>
  <c r="F12" i="207" l="1"/>
  <c r="E6" i="207"/>
  <c r="F6" i="207" s="1"/>
  <c r="F7" i="207"/>
  <c r="F8" i="207"/>
  <c r="F9" i="207"/>
  <c r="F10" i="207"/>
  <c r="F11" i="207"/>
  <c r="F12" i="206"/>
  <c r="E6" i="206"/>
  <c r="F6" i="206" s="1"/>
  <c r="F7" i="206"/>
  <c r="F8" i="206"/>
  <c r="F9" i="206"/>
  <c r="F10" i="206"/>
  <c r="F11" i="206"/>
  <c r="F12" i="205"/>
  <c r="E6" i="205"/>
  <c r="F6" i="205" s="1"/>
  <c r="F7" i="205"/>
  <c r="F8" i="205"/>
  <c r="F9" i="205"/>
  <c r="F10" i="205"/>
  <c r="F11" i="205"/>
  <c r="F12" i="204"/>
  <c r="E6" i="204"/>
  <c r="F6" i="204" s="1"/>
  <c r="F7" i="204"/>
  <c r="F8" i="204"/>
  <c r="F9" i="204"/>
  <c r="F10" i="204"/>
  <c r="F11" i="204"/>
</calcChain>
</file>

<file path=xl/sharedStrings.xml><?xml version="1.0" encoding="utf-8"?>
<sst xmlns="http://schemas.openxmlformats.org/spreadsheetml/2006/main" count="288930" uniqueCount="321">
  <si>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</si>
  <si>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</si>
  <si>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</si>
  <si>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</si>
  <si>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</si>
  <si>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</si>
  <si>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</si>
  <si>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</si>
  <si>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</si>
  <si>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</si>
  <si>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</si>
  <si>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</si>
  <si>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</si>
  <si>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</si>
  <si>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</si>
  <si>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</si>
  <si>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</si>
  <si>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</si>
  <si>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</si>
  <si>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</si>
  <si>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</si>
  <si>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</si>
  <si>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</si>
  <si>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</si>
  <si>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</si>
  <si>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</si>
  <si>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</si>
  <si>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</si>
  <si>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</si>
  <si>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</si>
  <si>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</si>
  <si>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</si>
  <si>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</si>
  <si>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</si>
  <si>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</si>
  <si>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</si>
  <si>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</si>
  <si>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</si>
  <si>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</si>
  <si>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</si>
  <si>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</si>
  <si>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</si>
  <si>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</si>
  <si>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</si>
  <si>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</si>
  <si>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</si>
  <si>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</si>
  <si>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</si>
  <si>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</si>
  <si>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</si>
  <si>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</si>
  <si>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</si>
  <si>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</si>
  <si>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</si>
  <si>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</si>
  <si>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</si>
  <si>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</si>
  <si>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</si>
  <si>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</si>
  <si>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</si>
  <si>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</si>
  <si>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</si>
  <si>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</si>
  <si>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</si>
  <si>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</si>
  <si>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</si>
  <si>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</si>
  <si>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</si>
  <si>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</si>
  <si>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</si>
  <si>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</si>
  <si>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</si>
  <si>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</si>
  <si>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</si>
  <si>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</si>
  <si>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</si>
  <si>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</si>
  <si>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</si>
  <si>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</si>
  <si>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</si>
  <si>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</si>
  <si>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</si>
  <si>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</si>
  <si>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</si>
  <si>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</si>
  <si>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</si>
  <si>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</si>
  <si>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</si>
  <si>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</si>
  <si>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</si>
  <si>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</si>
  <si>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</si>
  <si>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</si>
  <si>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</si>
  <si>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</si>
  <si>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</si>
  <si>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</si>
  <si>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</si>
  <si>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</si>
  <si>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</si>
  <si>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</si>
  <si>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</si>
  <si>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</si>
  <si>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</si>
  <si>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</si>
  <si>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</si>
  <si>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</si>
  <si>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</si>
  <si>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</si>
  <si>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</si>
  <si>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</si>
  <si>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</si>
  <si>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</si>
  <si>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</si>
  <si>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</si>
  <si>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</si>
  <si>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</si>
  <si>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</si>
  <si>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</si>
  <si>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</si>
  <si>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</si>
  <si>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</si>
  <si>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</si>
  <si>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</si>
  <si>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</si>
  <si>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</si>
  <si>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</si>
  <si>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</si>
  <si>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</si>
  <si>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</si>
  <si>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</si>
  <si>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</si>
  <si>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</si>
  <si>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</si>
  <si>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</si>
  <si>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</si>
  <si>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</si>
  <si>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</si>
  <si>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</si>
  <si>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</si>
  <si>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</si>
  <si>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</si>
  <si>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</si>
  <si>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</si>
  <si>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</si>
  <si>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</si>
  <si>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</si>
  <si>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</si>
  <si>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</si>
  <si>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</si>
  <si>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</si>
  <si>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</si>
  <si>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</si>
  <si>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</si>
  <si>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</si>
  <si>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</si>
  <si>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</si>
  <si>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</si>
  <si>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</si>
  <si>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</si>
  <si>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</si>
  <si>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</si>
  <si>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</si>
  <si>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</si>
  <si>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</si>
  <si>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</si>
  <si>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</si>
  <si>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</si>
  <si>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</si>
  <si>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</si>
  <si>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</si>
  <si>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</si>
  <si>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</si>
  <si>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</si>
  <si>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</si>
  <si>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</si>
  <si>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</si>
  <si>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</si>
  <si>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</si>
  <si>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</si>
  <si>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</si>
  <si>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</si>
  <si>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</si>
  <si>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</si>
  <si>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</si>
  <si>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</si>
  <si>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</si>
  <si>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</si>
  <si>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</si>
  <si>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</si>
  <si>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</si>
  <si>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</si>
  <si>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</si>
  <si>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</si>
  <si>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</si>
  <si>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</si>
  <si>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</si>
  <si>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</si>
  <si>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</si>
  <si>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</si>
  <si>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</si>
  <si>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</si>
  <si>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</si>
  <si>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</si>
  <si>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</si>
  <si>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</si>
  <si>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</si>
  <si>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</si>
  <si>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</si>
  <si>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</si>
  <si>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</si>
  <si>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</si>
  <si>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</si>
  <si>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</si>
  <si>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</si>
  <si>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</si>
  <si>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</si>
  <si>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</si>
  <si>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</si>
  <si>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</si>
  <si>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</si>
  <si>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</si>
  <si>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</si>
  <si>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</si>
  <si>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</si>
  <si>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</si>
  <si>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</si>
  <si>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</si>
  <si>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</si>
  <si>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</si>
  <si>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</si>
  <si>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</si>
  <si>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</si>
  <si>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</si>
  <si>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</si>
  <si>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</si>
  <si>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</si>
  <si>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</si>
  <si>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</si>
  <si>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</si>
  <si>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</si>
  <si>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</si>
  <si>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</si>
  <si>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</si>
  <si>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</si>
  <si>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</si>
  <si>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</si>
  <si>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</si>
  <si>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</si>
  <si>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</si>
  <si>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</si>
  <si>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</si>
  <si>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</si>
  <si>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</si>
  <si>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</si>
  <si>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</si>
  <si>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</si>
  <si>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</si>
  <si>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</si>
  <si>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</si>
  <si>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</si>
  <si>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</si>
  <si>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</si>
  <si>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</si>
  <si>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</si>
  <si>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</si>
  <si>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</si>
  <si>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</si>
  <si>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</si>
  <si>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</si>
  <si>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</si>
  <si>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</si>
  <si>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</si>
  <si>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</si>
  <si>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</si>
  <si>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</si>
  <si>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</si>
  <si>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</si>
  <si>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</si>
  <si>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</si>
  <si>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</si>
  <si>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</si>
  <si>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>PONTAL</t>
  </si>
  <si>
    <t>Número_Questão</t>
  </si>
  <si>
    <t>Tipo_Questão</t>
  </si>
  <si>
    <t>Título_Questão</t>
  </si>
  <si>
    <t>TítuloGráfico</t>
  </si>
  <si>
    <t>Observações</t>
  </si>
  <si>
    <t>Você utilizou as unidades e/ou serviços do Campus Pontal do Paraná em 2021?</t>
  </si>
  <si>
    <t>Eixo 5: questão 195</t>
  </si>
  <si>
    <t>Avalie os serviços prestados pelas unidades do Campus Pontal do Paraná que você utilizou em 2021: [Direção: Secretaria, Administrativo, Orçamentário, TI]</t>
  </si>
  <si>
    <t>Eixo 5: questão 196</t>
  </si>
  <si>
    <t>Avalie os serviços prestados pelas unidades do Campus Pontal do Paraná que você utilizou em 2021: [Secretarias das Coordenações de Cursos de Graduação]</t>
  </si>
  <si>
    <t>Eixo 5: questão 197</t>
  </si>
  <si>
    <t>Avalie os serviços prestados pelas unidades do Campus Pontal do Paraná que você utilizou em 2021: [Secretarias de Programas de Pós-Graduação]</t>
  </si>
  <si>
    <t>Eixo 5: questão 198</t>
  </si>
  <si>
    <t>Avalie os serviços prestados pelas unidades do Campus Pontal do Paraná que você utilizou em 2021: [Laboratórios, Clínicas, Oficinas, Ateliês e/ou equivalentes]</t>
  </si>
  <si>
    <t>Eixo 5: questão 199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</si>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</sst>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4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2" fontId="6" fillId="0" borderId="4" xfId="0" applyNumberFormat="1" applyFont="1" applyBorder="1"/>
    <xf numFmtId="0" fontId="8" fillId="0" borderId="4" xfId="0" quotePrefix="1" applyFont="1" applyBorder="1"/>
    <xf numFmtId="3" fontId="6" fillId="0" borderId="0" xfId="0" applyNumberFormat="1" applyFont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4" fillId="0" borderId="0" xfId="2" applyFont="1" applyFill="1" applyBorder="1"/>
    <xf numFmtId="0" fontId="12" fillId="0" borderId="0" xfId="2" applyFont="1" applyFill="1" applyBorder="1"/>
    <xf numFmtId="0" fontId="19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D858D53D-D341-4124-B7D9-49831CFD5934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2713984"/>
        <c:axId val="82723968"/>
      </c:barChart>
      <c:catAx>
        <c:axId val="8271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723968"/>
        <c:crosses val="autoZero"/>
        <c:auto val="1"/>
        <c:lblAlgn val="ctr"/>
        <c:lblOffset val="100"/>
        <c:noMultiLvlLbl val="0"/>
      </c:catAx>
      <c:valAx>
        <c:axId val="8272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713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AA-4F5D-87AE-F2F5F65291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AA-4F5D-87AE-F2F5F65291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AA-4F5D-87AE-F2F5F65291ED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'Q5.197'!$C$16:$C$18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'Q5.197'!$D$16:$D$18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AA-4F5D-87AE-F2F5F6529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1F-430D-8B8B-98020061D3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1F-430D-8B8B-98020061D3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1F-430D-8B8B-98020061D3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'Q5.197'!$C$22:$C$24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'Q5.197'!$D$22:$D$24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1F-430D-8B8B-98020061D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'Q5.197'!$B$28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'Q5.197'!$C$27:$E$27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'Q5.197'!$C$28:$E$28</c:f>
              <c:numCache>
                <c:formatCode>0.00</c:formatCode>
                <c:ptCount val="3"/>
                <c:pt idx="0">
                  <c:v>10</c:v>
                </c:pt>
                <c:pt idx="1">
                  <c:v>8.5882352941176467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E-47A1-9B75-31D960E0825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3744768"/>
        <c:axId val="163846016"/>
      </c:lineChart>
      <c:catAx>
        <c:axId val="16374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846016"/>
        <c:crosses val="autoZero"/>
        <c:auto val="1"/>
        <c:lblAlgn val="ctr"/>
        <c:lblOffset val="100"/>
        <c:noMultiLvlLbl val="0"/>
      </c:catAx>
      <c:valAx>
        <c:axId val="16384601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74476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198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'Q5.198'!$C$6:$C$11</c:f>
              <c:numCache>
                <c:formatCode>General</c:formatCode>
                <c:ptCount val="6"/>
                <c:pt idx="0">
                  <c:v>825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D-44F4-8115-721379A85EF2}"/>
            </c:ext>
          </c:extLst>
        </c:ser>
        <c:ser>
          <c:idx val="1"/>
          <c:order val="1"/>
          <c:tx>
            <c:strRef>
              <c:f>'Q5.198'!$D$5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'Q5.198'!$D$6:$D$11</c:f>
              <c:numCache>
                <c:formatCode>General</c:formatCode>
                <c:ptCount val="6"/>
                <c:pt idx="0">
                  <c:v>564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D-44F4-8115-721379A85E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074240"/>
        <c:axId val="164075776"/>
      </c:barChart>
      <c:catAx>
        <c:axId val="16407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075776"/>
        <c:crosses val="autoZero"/>
        <c:auto val="1"/>
        <c:lblAlgn val="ctr"/>
        <c:lblOffset val="100"/>
        <c:noMultiLvlLbl val="0"/>
      </c:catAx>
      <c:valAx>
        <c:axId val="16407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07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D8-4E8E-B47B-C5764D72FD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D8-4E8E-B47B-C5764D72FD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D8-4E8E-B47B-C5764D72FD06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'Q5.198'!$C$16:$C$18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'Q5.198'!$D$16:$D$18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D8-4E8E-B47B-C5764D72F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1D-479D-9577-B4D8147DEE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1D-479D-9577-B4D8147DEE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1D-479D-9577-B4D8147DEE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'Q5.198'!$C$22:$C$24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'Q5.198'!$D$22:$D$24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1D-479D-9577-B4D8147DE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'Q5.198'!$B$28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'Q5.198'!$C$27:$E$27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'Q5.198'!$C$28:$E$28</c:f>
              <c:numCache>
                <c:formatCode>0.00</c:formatCode>
                <c:ptCount val="3"/>
                <c:pt idx="0">
                  <c:v>10</c:v>
                </c:pt>
                <c:pt idx="1">
                  <c:v>8.5555555555555554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8-4319-BD14-0F42BBD4AB29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534912"/>
        <c:axId val="164537856"/>
      </c:lineChart>
      <c:catAx>
        <c:axId val="16453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537856"/>
        <c:crosses val="autoZero"/>
        <c:auto val="1"/>
        <c:lblAlgn val="ctr"/>
        <c:lblOffset val="100"/>
        <c:noMultiLvlLbl val="0"/>
      </c:catAx>
      <c:valAx>
        <c:axId val="16453785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53491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'Q5.199'!$C$6:$C$11</c:f>
              <c:numCache>
                <c:formatCode>General</c:formatCode>
                <c:ptCount val="6"/>
                <c:pt idx="0">
                  <c:v>823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2-49FD-BC57-22111150AFE9}"/>
            </c:ext>
          </c:extLst>
        </c:ser>
        <c:ser>
          <c:idx val="1"/>
          <c:order val="1"/>
          <c:tx>
            <c:strRef>
              <c:f>'Q5.199'!$D$5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'Q5.199'!$D$6:$D$11</c:f>
              <c:numCache>
                <c:formatCode>General</c:formatCode>
                <c:ptCount val="6"/>
                <c:pt idx="0">
                  <c:v>562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2-49FD-BC57-22111150A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671872"/>
        <c:axId val="164673408"/>
      </c:barChart>
      <c:catAx>
        <c:axId val="1646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673408"/>
        <c:crosses val="autoZero"/>
        <c:auto val="1"/>
        <c:lblAlgn val="ctr"/>
        <c:lblOffset val="100"/>
        <c:noMultiLvlLbl val="0"/>
      </c:catAx>
      <c:valAx>
        <c:axId val="16467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67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7D-42E2-922D-3DA65F29D1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7D-42E2-922D-3DA65F29D10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7D-42E2-922D-3DA65F29D100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'Q5.199'!$C$16:$C$18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'Q5.199'!$D$16:$D$18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7D-42E2-922D-3DA65F29D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DF-446F-93EE-4824F2C9EC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DF-446F-93EE-4824F2C9EC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DF-446F-93EE-4824F2C9EC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'Q5.199'!$C$22:$C$24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'Q5.199'!$D$22:$D$24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DF-446F-93EE-4824F2C9E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'Q5.199'!$B$28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'Q5.199'!$C$27:$E$27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'Q5.199'!$C$28:$E$28</c:f>
              <c:numCache>
                <c:formatCode>0.00</c:formatCode>
                <c:ptCount val="3"/>
                <c:pt idx="0">
                  <c:v>10</c:v>
                </c:pt>
                <c:pt idx="1">
                  <c:v>8.2727272727272734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6-4E36-8B85-0D6BB04AE02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5570816"/>
        <c:axId val="165594240"/>
      </c:lineChart>
      <c:catAx>
        <c:axId val="1655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594240"/>
        <c:crosses val="autoZero"/>
        <c:auto val="1"/>
        <c:lblAlgn val="ctr"/>
        <c:lblOffset val="100"/>
        <c:noMultiLvlLbl val="0"/>
      </c:catAx>
      <c:valAx>
        <c:axId val="16559424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57081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195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'Q5.195PP-CEM'!$C$5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'Q5.195PP-CEM'!$B$6:$B$8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'Q5.195PP-CEM'!$C$6:$C$8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27-4166-A7FF-601818F9B6A8}"/>
            </c:ext>
          </c:extLst>
        </c:ser>
        <c:ser>
          <c:idx val="1"/>
          <c:order val="1"/>
          <c:tx>
            <c:strRef>
              <c:f>'Q5.195PP-CEM'!$D$5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'Q5.195PP-CEM'!$B$6:$B$8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'Q5.195PP-CEM'!$D$6:$D$8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27-4166-A7FF-601818F9B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914816"/>
        <c:axId val="156916352"/>
      </c:barChart>
      <c:catAx>
        <c:axId val="1569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6916352"/>
        <c:crosses val="autoZero"/>
        <c:auto val="1"/>
        <c:lblAlgn val="ctr"/>
        <c:lblOffset val="100"/>
        <c:noMultiLvlLbl val="0"/>
      </c:catAx>
      <c:valAx>
        <c:axId val="1569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691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196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'Q5.196'!$C$6:$C$11</c:f>
              <c:numCache>
                <c:formatCode>General</c:formatCode>
                <c:ptCount val="6"/>
                <c:pt idx="0">
                  <c:v>812</c:v>
                </c:pt>
                <c:pt idx="1">
                  <c:v>15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F-4556-9CDE-1DAD51088213}"/>
            </c:ext>
          </c:extLst>
        </c:ser>
        <c:ser>
          <c:idx val="1"/>
          <c:order val="1"/>
          <c:tx>
            <c:strRef>
              <c:f>'Q5.196'!$D$5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'Q5.196'!$D$6:$D$11</c:f>
              <c:numCache>
                <c:formatCode>General</c:formatCode>
                <c:ptCount val="6"/>
                <c:pt idx="0">
                  <c:v>551</c:v>
                </c:pt>
                <c:pt idx="1">
                  <c:v>4</c:v>
                </c:pt>
                <c:pt idx="2">
                  <c:v>8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F-4556-9CDE-1DAD5108821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7005312"/>
        <c:axId val="157006848"/>
      </c:barChart>
      <c:catAx>
        <c:axId val="15700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7006848"/>
        <c:crosses val="autoZero"/>
        <c:auto val="1"/>
        <c:lblAlgn val="ctr"/>
        <c:lblOffset val="100"/>
        <c:noMultiLvlLbl val="0"/>
      </c:catAx>
      <c:valAx>
        <c:axId val="15700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700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8B-4592-BDBD-31065604DF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8B-4592-BDBD-31065604DF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98B-4592-BDBD-31065604DF2D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'Q5.196'!$C$16:$C$18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'Q5.196'!$D$16:$D$18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8B-4592-BDBD-31065604D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EA-48A5-8DE6-E8CBC8CCBC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EA-48A5-8DE6-E8CBC8CCBC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CEA-48A5-8DE6-E8CBC8CCBC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'Q5.196'!$C$22:$C$24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'Q5.196'!$D$22:$D$24</c:f>
              <c:numCache>
                <c:formatCode>General</c:formatCode>
                <c:ptCount val="3"/>
                <c:pt idx="0">
                  <c:v>7</c:v>
                </c:pt>
                <c:pt idx="1">
                  <c:v>4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EA-48A5-8DE6-E8CBC8CCB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'Q5.196'!$B$28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'Q5.196'!$C$27:$E$27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'Q5.196'!$C$28:$E$28</c:f>
              <c:numCache>
                <c:formatCode>0.00</c:formatCode>
                <c:ptCount val="3"/>
                <c:pt idx="0">
                  <c:v>10</c:v>
                </c:pt>
                <c:pt idx="1">
                  <c:v>7.6818181818181817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A-41E9-A469-6D2C6D7EF8A0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126016"/>
        <c:axId val="157145344"/>
      </c:lineChart>
      <c:catAx>
        <c:axId val="15712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7145344"/>
        <c:crosses val="autoZero"/>
        <c:auto val="1"/>
        <c:lblAlgn val="ctr"/>
        <c:lblOffset val="100"/>
        <c:noMultiLvlLbl val="0"/>
      </c:catAx>
      <c:valAx>
        <c:axId val="15714534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712601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197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'Q5.197'!$C$5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'Q5.197'!$C$6:$C$11</c:f>
              <c:numCache>
                <c:formatCode>General</c:formatCode>
                <c:ptCount val="6"/>
                <c:pt idx="0">
                  <c:v>821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D20-AB25-58AD4986525F}"/>
            </c:ext>
          </c:extLst>
        </c:ser>
        <c:ser>
          <c:idx val="1"/>
          <c:order val="1"/>
          <c:tx>
            <c:strRef>
              <c:f>'Q5.197'!$D$5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'Q5.197'!$B$6:$B$11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'Q5.197'!$D$6:$D$11</c:f>
              <c:numCache>
                <c:formatCode>General</c:formatCode>
                <c:ptCount val="6"/>
                <c:pt idx="0">
                  <c:v>552</c:v>
                </c:pt>
                <c:pt idx="1">
                  <c:v>8</c:v>
                </c:pt>
                <c:pt idx="2">
                  <c:v>10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6-4D20-AB25-58AD498652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3513472"/>
        <c:axId val="163515008"/>
      </c:barChart>
      <c:catAx>
        <c:axId val="1635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515008"/>
        <c:crosses val="autoZero"/>
        <c:auto val="1"/>
        <c:lblAlgn val="ctr"/>
        <c:lblOffset val="100"/>
        <c:noMultiLvlLbl val="0"/>
      </c:catAx>
      <c:valAx>
        <c:axId val="1635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51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600075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F455EB-1982-407E-80FD-21FF2FE3A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8C7214-816F-42CD-8E79-8CB22DCE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CA4FE632-C0DF-4B95-8CCE-86B52E7C2EDF}"/>
            </a:ext>
            <a:ext uri="{147F2762-F138-4A5C-976F-8EAC2B608ADB}">
              <a16:predDERef xmlns:a16="http://schemas.microsoft.com/office/drawing/2014/main" pred="{E08C7214-816F-42CD-8E79-8CB22DCE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9111FF92-EAFC-4709-8BD6-3271B83CE249}"/>
            </a:ext>
            <a:ext uri="{147F2762-F138-4A5C-976F-8EAC2B608ADB}">
              <a16:predDERef xmlns:a16="http://schemas.microsoft.com/office/drawing/2014/main" pred="{CA4FE632-C0DF-4B95-8CCE-86B52E7C2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A2DA6BB4-3418-4E2F-8E15-D84109FCC89B}"/>
            </a:ext>
            <a:ext uri="{147F2762-F138-4A5C-976F-8EAC2B608ADB}">
              <a16:predDERef xmlns:a16="http://schemas.microsoft.com/office/drawing/2014/main" pred="{9111FF92-EAFC-4709-8BD6-3271B83CE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F33300-FF6D-4B09-A83C-DC8B7932B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BB42915B-3748-4185-BEA7-B6DE523C1F06}"/>
            </a:ext>
            <a:ext uri="{147F2762-F138-4A5C-976F-8EAC2B608ADB}">
              <a16:predDERef xmlns:a16="http://schemas.microsoft.com/office/drawing/2014/main" pred="{50F33300-FF6D-4B09-A83C-DC8B7932B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4B712790-DD9C-439E-AEE5-84C373AFAE11}"/>
            </a:ext>
            <a:ext uri="{147F2762-F138-4A5C-976F-8EAC2B608ADB}">
              <a16:predDERef xmlns:a16="http://schemas.microsoft.com/office/drawing/2014/main" pred="{BB42915B-3748-4185-BEA7-B6DE523C1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19C57F14-BC48-4435-8DB5-F107D344392B}"/>
            </a:ext>
            <a:ext uri="{147F2762-F138-4A5C-976F-8EAC2B608ADB}">
              <a16:predDERef xmlns:a16="http://schemas.microsoft.com/office/drawing/2014/main" pred="{4B712790-DD9C-439E-AEE5-84C373AFA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107BB9-DADC-40AE-8E3A-571CE0EE7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74999A2A-F9EB-4CCC-B447-D6C7A477F2F1}"/>
            </a:ext>
            <a:ext uri="{147F2762-F138-4A5C-976F-8EAC2B608ADB}">
              <a16:predDERef xmlns:a16="http://schemas.microsoft.com/office/drawing/2014/main" pred="{65107BB9-DADC-40AE-8E3A-571CE0EE7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65E9698B-9AAB-49A3-B6F4-0A98F4DD510E}"/>
            </a:ext>
            <a:ext uri="{147F2762-F138-4A5C-976F-8EAC2B608ADB}">
              <a16:predDERef xmlns:a16="http://schemas.microsoft.com/office/drawing/2014/main" pred="{74999A2A-F9EB-4CCC-B447-D6C7A477F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E6A38A2F-85B6-47E5-A09B-F517600C9DBA}"/>
            </a:ext>
            <a:ext uri="{147F2762-F138-4A5C-976F-8EAC2B608ADB}">
              <a16:predDERef xmlns:a16="http://schemas.microsoft.com/office/drawing/2014/main" pred="{65E9698B-9AAB-49A3-B6F4-0A98F4DD5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1CF482-0689-4979-8F4C-F9C4B69B1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E99F447D-A2BF-424A-814A-0104D25BD0A1}"/>
            </a:ext>
            <a:ext uri="{147F2762-F138-4A5C-976F-8EAC2B608ADB}">
              <a16:predDERef xmlns:a16="http://schemas.microsoft.com/office/drawing/2014/main" pred="{1C1CF482-0689-4979-8F4C-F9C4B69B1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BFAD8760-3586-489D-A9F5-35344DCA282D}"/>
            </a:ext>
            <a:ext uri="{147F2762-F138-4A5C-976F-8EAC2B608ADB}">
              <a16:predDERef xmlns:a16="http://schemas.microsoft.com/office/drawing/2014/main" pred="{E99F447D-A2BF-424A-814A-0104D25BD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CCABD854-D8A6-4165-A339-25AAF1E5D626}"/>
            </a:ext>
            <a:ext uri="{147F2762-F138-4A5C-976F-8EAC2B608ADB}">
              <a16:predDERef xmlns:a16="http://schemas.microsoft.com/office/drawing/2014/main" pred="{BFAD8760-3586-489D-A9F5-35344DCA2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6" totalsRowShown="0" headerRowDxfId="6" dataDxfId="5">
  <autoFilter ref="A1:E6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00"/>
  <sheetViews>
    <sheetView showGridLines="0" tabSelected="1" topLeftCell="A21" zoomScale="60" zoomScaleNormal="60" workbookViewId="0">
      <selection activeCell="F46" sqref="F46"/>
    </sheetView>
  </sheetViews>
  <sheetFormatPr defaultRowHeight="15" x14ac:dyDescent="0.2"/>
  <cols>
    <col min="1" max="1" width="9" style="43" customWidth="1"/>
    <col min="2" max="2" width="40.5703125" style="43" customWidth="1"/>
    <col min="3" max="3" width="19.28515625" style="43" customWidth="1"/>
    <col min="4" max="4" width="25.85546875" style="43" customWidth="1"/>
    <col min="5" max="5" width="35.7109375" style="43" customWidth="1"/>
    <col min="6" max="6" width="26.42578125" style="43" customWidth="1"/>
    <col min="7" max="7" width="34" style="43" customWidth="1"/>
    <col min="8" max="8" width="11.85546875" style="43" customWidth="1"/>
    <col min="9" max="9" width="26.42578125" style="43" customWidth="1"/>
    <col min="10" max="10" width="37.140625" style="43" customWidth="1"/>
    <col min="11" max="16384" width="9.140625" style="43"/>
  </cols>
  <sheetData>
    <row r="1" spans="1:15" ht="15.75" x14ac:dyDescent="0.25">
      <c r="A1" s="42" t="s">
        <v>0</v>
      </c>
    </row>
    <row r="3" spans="1:15" ht="15.75" x14ac:dyDescent="0.25">
      <c r="A3" s="45" t="s">
        <v>1</v>
      </c>
      <c r="B3" s="45"/>
      <c r="C3" s="45"/>
      <c r="D3" s="45"/>
      <c r="E3" s="45"/>
      <c r="F3" s="45"/>
      <c r="H3" s="46"/>
      <c r="I3" s="46"/>
      <c r="J3" s="46"/>
      <c r="K3" s="47"/>
      <c r="L3" s="47"/>
      <c r="M3" s="47"/>
      <c r="N3" s="47"/>
      <c r="O3" s="47"/>
    </row>
    <row r="4" spans="1:15" x14ac:dyDescent="0.2">
      <c r="A4" s="48" t="s">
        <v>2</v>
      </c>
      <c r="B4" s="49" t="s">
        <v>3</v>
      </c>
      <c r="C4" s="64"/>
      <c r="H4" s="50"/>
      <c r="I4" s="50"/>
      <c r="J4" s="50"/>
      <c r="K4" s="50"/>
      <c r="L4" s="51"/>
      <c r="M4" s="51"/>
      <c r="N4" s="47"/>
      <c r="O4" s="47"/>
    </row>
    <row r="5" spans="1:15" x14ac:dyDescent="0.2">
      <c r="A5" s="48" t="s">
        <v>4</v>
      </c>
      <c r="B5" s="63" t="s">
        <v>5</v>
      </c>
      <c r="C5" s="44"/>
      <c r="H5" s="52"/>
      <c r="I5" s="47"/>
      <c r="J5" s="47"/>
      <c r="K5" s="47"/>
      <c r="L5" s="53"/>
      <c r="M5" s="53"/>
      <c r="N5" s="47"/>
      <c r="O5" s="47"/>
    </row>
    <row r="6" spans="1:15" x14ac:dyDescent="0.2">
      <c r="H6" s="47"/>
      <c r="I6" s="47"/>
      <c r="J6" s="47"/>
      <c r="K6" s="47"/>
      <c r="L6" s="47"/>
      <c r="M6" s="47"/>
      <c r="N6" s="47"/>
      <c r="O6" s="47"/>
    </row>
    <row r="7" spans="1:15" x14ac:dyDescent="0.2">
      <c r="A7" s="43" t="s">
        <v>6</v>
      </c>
    </row>
    <row r="8" spans="1:15" x14ac:dyDescent="0.2">
      <c r="A8" s="43" t="s">
        <v>7</v>
      </c>
    </row>
    <row r="10" spans="1:15" x14ac:dyDescent="0.2">
      <c r="A10" s="43" t="s">
        <v>8</v>
      </c>
    </row>
    <row r="11" spans="1:15" ht="100.5" customHeight="1" x14ac:dyDescent="0.2">
      <c r="A11" s="67" t="s">
        <v>9</v>
      </c>
      <c r="B11" s="67"/>
      <c r="C11" s="67"/>
      <c r="D11" s="67"/>
      <c r="E11" s="67"/>
      <c r="F11" s="67"/>
    </row>
    <row r="12" spans="1:15" x14ac:dyDescent="0.2">
      <c r="A12" s="65"/>
    </row>
    <row r="13" spans="1:15" x14ac:dyDescent="0.2">
      <c r="A13" s="46" t="s">
        <v>10</v>
      </c>
    </row>
    <row r="14" spans="1:15" s="57" customFormat="1" x14ac:dyDescent="0.2">
      <c r="A14" s="55"/>
      <c r="B14" s="69" t="s">
        <v>11</v>
      </c>
      <c r="C14" s="70"/>
      <c r="D14" s="55" t="s">
        <v>12</v>
      </c>
      <c r="E14" s="56" t="s">
        <v>13</v>
      </c>
      <c r="F14" s="51"/>
    </row>
    <row r="15" spans="1:15" x14ac:dyDescent="0.2">
      <c r="A15" s="62" t="s">
        <v>14</v>
      </c>
      <c r="B15" s="71">
        <f>COUNTIF(Resp5[Vínculo],A15)</f>
        <v>833</v>
      </c>
      <c r="C15" s="72"/>
      <c r="D15" s="58">
        <v>2019</v>
      </c>
      <c r="E15" s="59">
        <f>ROUND(B15/$D15*100,3)</f>
        <v>41.258000000000003</v>
      </c>
      <c r="F15" s="53"/>
    </row>
    <row r="16" spans="1:15" x14ac:dyDescent="0.2">
      <c r="A16" s="60" t="s">
        <v>15</v>
      </c>
      <c r="B16" s="71">
        <f>COUNTIF(Resp5[Vínculo],A16)</f>
        <v>574</v>
      </c>
      <c r="C16" s="72"/>
      <c r="D16" s="58">
        <v>2675</v>
      </c>
      <c r="E16" s="59">
        <f t="shared" ref="E16:E17" si="0">ROUND(B16/$D16*100,3)</f>
        <v>21.457999999999998</v>
      </c>
      <c r="F16" s="53"/>
    </row>
    <row r="17" spans="1:61" x14ac:dyDescent="0.2">
      <c r="A17" s="61" t="s">
        <v>16</v>
      </c>
      <c r="B17" s="71">
        <f>SUM(B15:B16)</f>
        <v>1407</v>
      </c>
      <c r="C17" s="72"/>
      <c r="D17" s="58">
        <f>SUM(D15:D16)</f>
        <v>4694</v>
      </c>
      <c r="E17" s="59">
        <f t="shared" si="0"/>
        <v>29.974</v>
      </c>
      <c r="F17" s="53"/>
    </row>
    <row r="18" spans="1:61" x14ac:dyDescent="0.2">
      <c r="A18" s="54">
        <v>1</v>
      </c>
      <c r="B18" s="68" t="s">
        <v>17</v>
      </c>
      <c r="C18" s="68"/>
      <c r="D18" s="68"/>
      <c r="E18" s="68"/>
      <c r="F18" s="68"/>
      <c r="G18" s="68"/>
      <c r="H18" s="68"/>
      <c r="I18" s="68"/>
      <c r="J18" s="68"/>
      <c r="K18" s="68"/>
      <c r="L18" s="68"/>
    </row>
    <row r="19" spans="1:61" x14ac:dyDescent="0.2">
      <c r="A19" s="54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</row>
    <row r="20" spans="1:61" x14ac:dyDescent="0.2">
      <c r="A20" s="54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</row>
    <row r="21" spans="1:61" x14ac:dyDescent="0.2">
      <c r="A21" s="43" t="s">
        <v>18</v>
      </c>
    </row>
    <row r="22" spans="1:61" ht="39.75" customHeight="1" x14ac:dyDescent="0.2">
      <c r="A22" s="67" t="s">
        <v>19</v>
      </c>
      <c r="B22" s="67"/>
      <c r="C22" s="67"/>
      <c r="D22" s="67"/>
      <c r="E22" s="67"/>
      <c r="F22" s="67"/>
      <c r="G22" s="67"/>
      <c r="H22" s="67"/>
      <c r="I22" s="67"/>
    </row>
    <row r="23" spans="1:61" x14ac:dyDescent="0.2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</row>
    <row r="24" spans="1:61" ht="15.75" x14ac:dyDescent="0.25">
      <c r="A24" s="83" t="s">
        <v>20</v>
      </c>
      <c r="B24" s="83"/>
      <c r="C24"/>
      <c r="D24" s="84" t="s">
        <v>5</v>
      </c>
      <c r="E24" s="85"/>
      <c r="F24" s="74"/>
      <c r="G24" s="74"/>
      <c r="H24" s="74"/>
      <c r="I24" s="75"/>
      <c r="J24" s="74"/>
      <c r="K24" s="74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</row>
    <row r="25" spans="1:61" ht="15.75" x14ac:dyDescent="0.25">
      <c r="A25" s="86" t="s">
        <v>21</v>
      </c>
      <c r="B25" s="86"/>
      <c r="C25"/>
      <c r="D25" s="87" t="s">
        <v>22</v>
      </c>
      <c r="E25" s="87" t="s">
        <v>318</v>
      </c>
      <c r="F25" s="75"/>
      <c r="G25" s="74"/>
      <c r="H25" s="74"/>
      <c r="I25" s="77"/>
      <c r="J25" s="77"/>
      <c r="K25" s="74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</row>
    <row r="26" spans="1:61" ht="15.75" x14ac:dyDescent="0.25">
      <c r="A26" s="86" t="s">
        <v>23</v>
      </c>
      <c r="B26" s="86"/>
      <c r="C26"/>
      <c r="D26" s="88" t="s">
        <v>24</v>
      </c>
      <c r="E26" s="89" t="s">
        <v>25</v>
      </c>
      <c r="F26" s="77"/>
      <c r="G26" s="77"/>
      <c r="H26" s="74"/>
      <c r="I26" s="77"/>
      <c r="J26" s="77"/>
      <c r="K26" s="74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</row>
    <row r="27" spans="1:61" ht="15.75" x14ac:dyDescent="0.25">
      <c r="A27" s="86" t="s">
        <v>319</v>
      </c>
      <c r="B27" s="86"/>
      <c r="C27"/>
      <c r="D27" s="90" t="s">
        <v>26</v>
      </c>
      <c r="E27" s="91" t="s">
        <v>320</v>
      </c>
      <c r="F27" s="77"/>
      <c r="G27" s="77"/>
      <c r="H27" s="74"/>
      <c r="I27" s="77"/>
      <c r="J27" s="77"/>
      <c r="K27" s="74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</row>
    <row r="28" spans="1:61" ht="15.75" x14ac:dyDescent="0.25">
      <c r="A28" s="86" t="s">
        <v>27</v>
      </c>
      <c r="B28" s="86"/>
      <c r="C28" s="92"/>
      <c r="D28" s="92"/>
      <c r="E28" s="93"/>
      <c r="F28" s="77"/>
      <c r="G28" s="77"/>
      <c r="H28" s="74"/>
      <c r="I28" s="77"/>
      <c r="J28" s="77"/>
      <c r="K28" s="74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</row>
    <row r="29" spans="1:61" ht="15.75" x14ac:dyDescent="0.25">
      <c r="A29" s="86" t="s">
        <v>28</v>
      </c>
      <c r="B29" s="86"/>
      <c r="C29" s="92"/>
      <c r="D29" s="92"/>
      <c r="E29" s="93"/>
      <c r="F29" s="79"/>
      <c r="G29" s="79"/>
      <c r="H29" s="74"/>
      <c r="I29" s="74"/>
      <c r="J29" s="74"/>
      <c r="K29" s="74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</row>
    <row r="30" spans="1:61" ht="15.75" x14ac:dyDescent="0.25">
      <c r="A30" s="74"/>
      <c r="B30" s="78"/>
      <c r="C30" s="79"/>
      <c r="D30" s="79"/>
      <c r="E30" s="79"/>
      <c r="F30" s="79"/>
      <c r="G30" s="79"/>
      <c r="H30" s="74"/>
      <c r="I30" s="75"/>
      <c r="J30" s="74"/>
      <c r="K30" s="74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</row>
    <row r="31" spans="1:61" ht="15.75" x14ac:dyDescent="0.25">
      <c r="A31" s="74"/>
      <c r="B31" s="78"/>
      <c r="C31" s="79"/>
      <c r="D31" s="79"/>
      <c r="E31" s="79"/>
      <c r="F31" s="79"/>
      <c r="G31" s="79"/>
      <c r="H31" s="74"/>
      <c r="I31" s="77"/>
      <c r="J31" s="77"/>
      <c r="K31" s="74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</row>
    <row r="32" spans="1:61" ht="15.75" x14ac:dyDescent="0.25">
      <c r="A32" s="74"/>
      <c r="B32" s="74"/>
      <c r="C32" s="74"/>
      <c r="D32" s="74"/>
      <c r="E32" s="74"/>
      <c r="F32" s="74"/>
      <c r="G32" s="74"/>
      <c r="H32" s="74"/>
      <c r="I32" s="77"/>
      <c r="J32" s="77"/>
      <c r="K32" s="74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</row>
    <row r="33" spans="1:61" ht="15.75" x14ac:dyDescent="0.25">
      <c r="A33" s="74"/>
      <c r="B33" s="74"/>
      <c r="C33" s="80"/>
      <c r="D33" s="80"/>
      <c r="E33" s="74"/>
      <c r="F33" s="74"/>
      <c r="G33" s="74"/>
      <c r="H33" s="74"/>
      <c r="I33" s="74"/>
      <c r="J33" s="74"/>
      <c r="K33" s="74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</row>
    <row r="34" spans="1:61" ht="15.75" x14ac:dyDescent="0.25">
      <c r="A34" s="74"/>
      <c r="B34" s="74"/>
      <c r="C34" s="81"/>
      <c r="D34" s="82"/>
      <c r="E34" s="74"/>
      <c r="F34" s="74"/>
      <c r="G34" s="74"/>
      <c r="H34" s="74"/>
      <c r="I34" s="75"/>
      <c r="J34" s="74"/>
      <c r="K34" s="74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</row>
    <row r="35" spans="1:61" ht="15.75" x14ac:dyDescent="0.25">
      <c r="A35" s="74"/>
      <c r="B35" s="74"/>
      <c r="C35" s="81"/>
      <c r="D35" s="82"/>
      <c r="E35" s="74"/>
      <c r="F35" s="74"/>
      <c r="G35" s="74"/>
      <c r="H35" s="74"/>
      <c r="I35" s="77"/>
      <c r="J35" s="77"/>
      <c r="K35" s="74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</row>
    <row r="36" spans="1:61" ht="15.75" x14ac:dyDescent="0.25">
      <c r="A36" s="74"/>
      <c r="B36" s="74"/>
      <c r="C36" s="81"/>
      <c r="D36" s="76"/>
      <c r="E36" s="74"/>
      <c r="F36" s="74"/>
      <c r="G36" s="74"/>
      <c r="H36" s="74"/>
      <c r="I36" s="77"/>
      <c r="J36" s="77"/>
      <c r="K36" s="74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</row>
    <row r="37" spans="1:61" ht="15.75" x14ac:dyDescent="0.25">
      <c r="A37" s="74"/>
      <c r="B37" s="74"/>
      <c r="C37" s="74"/>
      <c r="D37" s="74"/>
      <c r="E37" s="74"/>
      <c r="F37" s="74"/>
      <c r="G37" s="74"/>
      <c r="H37" s="74"/>
      <c r="I37" s="73"/>
      <c r="J37" s="73"/>
      <c r="K37" s="74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</row>
    <row r="38" spans="1:61" ht="15.75" x14ac:dyDescent="0.25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</row>
    <row r="39" spans="1:61" ht="15.75" x14ac:dyDescent="0.25">
      <c r="A39" s="74"/>
      <c r="B39" s="74"/>
      <c r="C39" s="74"/>
      <c r="D39" s="74"/>
      <c r="E39" s="74"/>
      <c r="F39" s="74"/>
      <c r="G39" s="74"/>
      <c r="H39" s="74"/>
      <c r="I39" s="75"/>
      <c r="J39" s="74"/>
      <c r="K39" s="74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</row>
    <row r="40" spans="1:61" ht="15.75" x14ac:dyDescent="0.25">
      <c r="A40" s="74"/>
      <c r="B40" s="74"/>
      <c r="C40" s="74"/>
      <c r="D40" s="74"/>
      <c r="E40" s="74"/>
      <c r="F40" s="74"/>
      <c r="G40" s="74"/>
      <c r="H40" s="74"/>
      <c r="I40" s="77"/>
      <c r="J40" s="77"/>
      <c r="K40" s="74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</row>
    <row r="41" spans="1:61" ht="15.75" x14ac:dyDescent="0.25">
      <c r="A41" s="74"/>
      <c r="B41" s="74"/>
      <c r="C41" s="74"/>
      <c r="D41" s="74"/>
      <c r="E41" s="74"/>
      <c r="F41" s="74"/>
      <c r="G41" s="74"/>
      <c r="H41" s="74"/>
      <c r="I41" s="77"/>
      <c r="J41" s="77"/>
      <c r="K41" s="74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</row>
    <row r="42" spans="1:61" ht="15.75" x14ac:dyDescent="0.25">
      <c r="A42" s="74"/>
      <c r="B42" s="74"/>
      <c r="C42" s="74"/>
      <c r="D42" s="74"/>
      <c r="E42" s="74"/>
      <c r="F42" s="74"/>
      <c r="G42" s="74"/>
      <c r="H42" s="74"/>
      <c r="I42" s="77"/>
      <c r="J42" s="77"/>
      <c r="K42" s="74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</row>
    <row r="43" spans="1:61" ht="15.75" x14ac:dyDescent="0.25">
      <c r="A43" s="74"/>
      <c r="B43" s="74"/>
      <c r="C43" s="74"/>
      <c r="D43" s="74"/>
      <c r="E43" s="74"/>
      <c r="F43" s="74"/>
      <c r="G43" s="74"/>
      <c r="H43" s="74"/>
      <c r="I43" s="77"/>
      <c r="J43" s="77"/>
      <c r="K43" s="74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</row>
    <row r="44" spans="1:61" ht="15.75" x14ac:dyDescent="0.25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</row>
    <row r="45" spans="1:61" ht="15.75" x14ac:dyDescent="0.25">
      <c r="A45" s="74"/>
      <c r="B45" s="74"/>
      <c r="C45" s="74"/>
      <c r="D45" s="74"/>
      <c r="E45" s="74"/>
      <c r="F45" s="74"/>
      <c r="G45" s="74"/>
      <c r="H45" s="74"/>
      <c r="I45" s="75"/>
      <c r="J45" s="74"/>
      <c r="K45" s="74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</row>
    <row r="46" spans="1:61" ht="15.75" x14ac:dyDescent="0.25">
      <c r="A46" s="74"/>
      <c r="B46" s="74"/>
      <c r="C46" s="74"/>
      <c r="D46" s="74"/>
      <c r="E46" s="74"/>
      <c r="F46" s="74"/>
      <c r="G46" s="74"/>
      <c r="H46" s="74"/>
      <c r="I46" s="77"/>
      <c r="J46" s="77"/>
      <c r="K46" s="74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</row>
    <row r="47" spans="1:61" ht="15.75" x14ac:dyDescent="0.25">
      <c r="A47" s="74"/>
      <c r="B47" s="74"/>
      <c r="C47" s="74"/>
      <c r="D47" s="74"/>
      <c r="E47" s="74"/>
      <c r="F47" s="74"/>
      <c r="G47" s="74"/>
      <c r="H47" s="74"/>
      <c r="I47" s="77"/>
      <c r="J47" s="77"/>
      <c r="K47" s="74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</row>
    <row r="48" spans="1:61" ht="15.75" x14ac:dyDescent="0.25">
      <c r="A48" s="74"/>
      <c r="B48" s="74"/>
      <c r="C48" s="74"/>
      <c r="D48" s="74"/>
      <c r="E48" s="74"/>
      <c r="F48" s="74"/>
      <c r="G48" s="74"/>
      <c r="H48" s="74"/>
      <c r="I48" s="77"/>
      <c r="J48" s="77"/>
      <c r="K48" s="74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</row>
    <row r="49" spans="1:61" ht="15.75" x14ac:dyDescent="0.25">
      <c r="A49" s="73"/>
      <c r="B49" s="74"/>
      <c r="C49" s="74"/>
      <c r="D49" s="74"/>
      <c r="E49" s="74"/>
      <c r="F49" s="74"/>
      <c r="G49" s="74"/>
      <c r="H49" s="74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</row>
    <row r="50" spans="1:61" ht="15.75" x14ac:dyDescent="0.25">
      <c r="A50" s="73"/>
      <c r="B50" s="73"/>
      <c r="C50" s="73"/>
      <c r="D50" s="73"/>
      <c r="E50" s="73"/>
      <c r="F50" s="73"/>
      <c r="G50" s="73"/>
      <c r="H50" s="73"/>
      <c r="I50" s="75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</row>
    <row r="51" spans="1:61" ht="15.75" x14ac:dyDescent="0.25">
      <c r="A51" s="73"/>
      <c r="B51" s="73"/>
      <c r="C51" s="73"/>
      <c r="D51" s="73"/>
      <c r="E51" s="73"/>
      <c r="F51" s="73"/>
      <c r="G51" s="73"/>
      <c r="H51" s="73"/>
      <c r="I51" s="74"/>
      <c r="J51" s="74"/>
      <c r="K51" s="74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</row>
    <row r="52" spans="1:61" x14ac:dyDescent="0.2">
      <c r="I52" s="66"/>
      <c r="J52" s="66"/>
    </row>
    <row r="53" spans="1:61" x14ac:dyDescent="0.2">
      <c r="I53" s="66"/>
      <c r="J53" s="66"/>
    </row>
    <row r="54" spans="1:61" x14ac:dyDescent="0.2">
      <c r="I54" s="66"/>
      <c r="J54" s="66"/>
    </row>
    <row r="55" spans="1:61" x14ac:dyDescent="0.2">
      <c r="I55" s="66"/>
      <c r="J55" s="66"/>
    </row>
    <row r="56" spans="1:61" x14ac:dyDescent="0.2">
      <c r="I56" s="66"/>
      <c r="J56" s="66"/>
    </row>
    <row r="57" spans="1:61" x14ac:dyDescent="0.2">
      <c r="I57" s="66"/>
      <c r="J57" s="66"/>
    </row>
    <row r="58" spans="1:61" x14ac:dyDescent="0.2">
      <c r="I58" s="66"/>
      <c r="J58" s="66"/>
    </row>
    <row r="59" spans="1:61" x14ac:dyDescent="0.2">
      <c r="I59" s="66"/>
      <c r="J59" s="66"/>
    </row>
    <row r="60" spans="1:61" x14ac:dyDescent="0.2">
      <c r="I60" s="66"/>
      <c r="J60" s="66"/>
    </row>
    <row r="61" spans="1:61" x14ac:dyDescent="0.2">
      <c r="I61" s="66"/>
      <c r="J61" s="66"/>
    </row>
    <row r="62" spans="1:61" x14ac:dyDescent="0.2">
      <c r="I62" s="66"/>
      <c r="J62" s="66"/>
    </row>
    <row r="63" spans="1:61" x14ac:dyDescent="0.2">
      <c r="I63" s="66"/>
      <c r="J63" s="66"/>
    </row>
    <row r="64" spans="1:61" x14ac:dyDescent="0.2">
      <c r="I64" s="66"/>
      <c r="J64" s="66"/>
    </row>
    <row r="65" spans="9:10" x14ac:dyDescent="0.2">
      <c r="I65" s="66"/>
      <c r="J65" s="66"/>
    </row>
    <row r="66" spans="9:10" x14ac:dyDescent="0.2">
      <c r="I66" s="66"/>
      <c r="J66" s="66"/>
    </row>
    <row r="67" spans="9:10" x14ac:dyDescent="0.2">
      <c r="I67" s="66"/>
      <c r="J67" s="66"/>
    </row>
    <row r="68" spans="9:10" x14ac:dyDescent="0.2">
      <c r="I68" s="66"/>
      <c r="J68" s="66"/>
    </row>
    <row r="69" spans="9:10" x14ac:dyDescent="0.2">
      <c r="I69" s="66"/>
      <c r="J69" s="66"/>
    </row>
    <row r="70" spans="9:10" x14ac:dyDescent="0.2">
      <c r="I70" s="66"/>
      <c r="J70" s="66"/>
    </row>
    <row r="71" spans="9:10" x14ac:dyDescent="0.2">
      <c r="I71" s="66"/>
      <c r="J71" s="66"/>
    </row>
    <row r="72" spans="9:10" x14ac:dyDescent="0.2">
      <c r="I72" s="66"/>
      <c r="J72" s="66"/>
    </row>
    <row r="73" spans="9:10" x14ac:dyDescent="0.2">
      <c r="I73" s="66"/>
      <c r="J73" s="66"/>
    </row>
    <row r="74" spans="9:10" x14ac:dyDescent="0.2">
      <c r="I74" s="66"/>
      <c r="J74" s="66"/>
    </row>
    <row r="75" spans="9:10" x14ac:dyDescent="0.2">
      <c r="I75" s="66"/>
      <c r="J75" s="66"/>
    </row>
    <row r="76" spans="9:10" x14ac:dyDescent="0.2">
      <c r="I76" s="66"/>
      <c r="J76" s="66"/>
    </row>
    <row r="77" spans="9:10" x14ac:dyDescent="0.2">
      <c r="I77" s="66"/>
      <c r="J77" s="66"/>
    </row>
    <row r="78" spans="9:10" x14ac:dyDescent="0.2">
      <c r="I78" s="66"/>
      <c r="J78" s="66"/>
    </row>
    <row r="79" spans="9:10" x14ac:dyDescent="0.2">
      <c r="I79" s="66"/>
      <c r="J79" s="66"/>
    </row>
    <row r="80" spans="9:10" x14ac:dyDescent="0.2">
      <c r="I80" s="66"/>
      <c r="J80" s="66"/>
    </row>
    <row r="81" spans="9:10" x14ac:dyDescent="0.2">
      <c r="I81" s="66"/>
      <c r="J81" s="66"/>
    </row>
    <row r="82" spans="9:10" x14ac:dyDescent="0.2">
      <c r="I82" s="66"/>
      <c r="J82" s="66"/>
    </row>
    <row r="83" spans="9:10" x14ac:dyDescent="0.2">
      <c r="I83" s="66"/>
      <c r="J83" s="66"/>
    </row>
    <row r="84" spans="9:10" x14ac:dyDescent="0.2">
      <c r="I84" s="66"/>
      <c r="J84" s="66"/>
    </row>
    <row r="85" spans="9:10" x14ac:dyDescent="0.2">
      <c r="I85" s="66"/>
      <c r="J85" s="66"/>
    </row>
    <row r="86" spans="9:10" x14ac:dyDescent="0.2">
      <c r="I86" s="66"/>
      <c r="J86" s="66"/>
    </row>
    <row r="87" spans="9:10" x14ac:dyDescent="0.2">
      <c r="I87" s="66"/>
      <c r="J87" s="66"/>
    </row>
    <row r="88" spans="9:10" x14ac:dyDescent="0.2">
      <c r="I88" s="66"/>
      <c r="J88" s="66"/>
    </row>
    <row r="89" spans="9:10" x14ac:dyDescent="0.2">
      <c r="I89" s="66"/>
      <c r="J89" s="66"/>
    </row>
    <row r="90" spans="9:10" x14ac:dyDescent="0.2">
      <c r="I90" s="66"/>
      <c r="J90" s="66"/>
    </row>
    <row r="91" spans="9:10" x14ac:dyDescent="0.2">
      <c r="I91" s="66"/>
      <c r="J91" s="66"/>
    </row>
    <row r="92" spans="9:10" x14ac:dyDescent="0.2">
      <c r="I92" s="66"/>
      <c r="J92" s="66"/>
    </row>
    <row r="93" spans="9:10" x14ac:dyDescent="0.2">
      <c r="I93" s="66"/>
      <c r="J93" s="66"/>
    </row>
    <row r="94" spans="9:10" x14ac:dyDescent="0.2">
      <c r="I94" s="66"/>
      <c r="J94" s="66"/>
    </row>
    <row r="95" spans="9:10" x14ac:dyDescent="0.2">
      <c r="I95" s="66"/>
      <c r="J95" s="66"/>
    </row>
    <row r="96" spans="9:10" x14ac:dyDescent="0.2">
      <c r="I96" s="66"/>
      <c r="J96" s="66"/>
    </row>
    <row r="97" spans="9:10" x14ac:dyDescent="0.2">
      <c r="I97" s="66"/>
      <c r="J97" s="66"/>
    </row>
    <row r="98" spans="9:10" x14ac:dyDescent="0.2">
      <c r="I98" s="66"/>
      <c r="J98" s="66"/>
    </row>
    <row r="99" spans="9:10" x14ac:dyDescent="0.2">
      <c r="I99" s="66"/>
      <c r="J99" s="66"/>
    </row>
    <row r="100" spans="9:10" x14ac:dyDescent="0.2">
      <c r="I100" s="66"/>
      <c r="J100" s="66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6"/>
  <sheetViews>
    <sheetView zoomScaleNormal="100" workbookViewId="0">
      <selection activeCell="C24" sqref="C24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283</v>
      </c>
      <c r="B1" s="3" t="s">
        <v>284</v>
      </c>
      <c r="C1" s="4" t="s">
        <v>285</v>
      </c>
      <c r="D1" s="4" t="s">
        <v>286</v>
      </c>
      <c r="E1" s="4" t="s">
        <v>287</v>
      </c>
    </row>
    <row r="2" spans="1:5" ht="15" x14ac:dyDescent="0.25">
      <c r="A2" t="s">
        <v>225</v>
      </c>
      <c r="B2" t="s">
        <v>2</v>
      </c>
      <c r="C2" s="1" t="s">
        <v>288</v>
      </c>
      <c r="D2" s="5" t="s">
        <v>289</v>
      </c>
      <c r="E2" s="6" t="s">
        <v>282</v>
      </c>
    </row>
    <row r="3" spans="1:5" ht="15" x14ac:dyDescent="0.25">
      <c r="A3" t="s">
        <v>226</v>
      </c>
      <c r="B3" s="1" t="s">
        <v>4</v>
      </c>
      <c r="C3" s="1" t="s">
        <v>290</v>
      </c>
      <c r="D3" s="5" t="s">
        <v>291</v>
      </c>
      <c r="E3" s="6"/>
    </row>
    <row r="4" spans="1:5" ht="15" x14ac:dyDescent="0.25">
      <c r="A4" t="s">
        <v>227</v>
      </c>
      <c r="B4" s="1" t="s">
        <v>4</v>
      </c>
      <c r="C4" s="1" t="s">
        <v>292</v>
      </c>
      <c r="D4" s="5" t="s">
        <v>293</v>
      </c>
      <c r="E4" s="6"/>
    </row>
    <row r="5" spans="1:5" ht="15" x14ac:dyDescent="0.25">
      <c r="A5" t="s">
        <v>228</v>
      </c>
      <c r="B5" s="1" t="s">
        <v>4</v>
      </c>
      <c r="C5" s="1" t="s">
        <v>294</v>
      </c>
      <c r="D5" s="5" t="s">
        <v>295</v>
      </c>
      <c r="E5" s="6"/>
    </row>
    <row r="6" spans="1:5" ht="15" x14ac:dyDescent="0.25">
      <c r="A6" t="s">
        <v>229</v>
      </c>
      <c r="B6" s="1" t="s">
        <v>4</v>
      </c>
      <c r="C6" s="1" t="s">
        <v>296</v>
      </c>
      <c r="D6" s="5" t="s">
        <v>297</v>
      </c>
      <c r="E6" s="6"/>
    </row>
  </sheetData>
  <pageMargins left="0.7" right="0.7" top="0.75" bottom="0.75" header="0.3" footer="0.3"/>
  <ignoredErrors>
    <ignoredError sqref="A2:A6" numberStoredAsText="1"/>
  </ignoredErrors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1" customWidth="1"/>
    <col min="2" max="2" width="23" style="31" customWidth="1"/>
    <col min="3" max="6" width="9.140625" style="31" customWidth="1"/>
    <col min="7" max="7" width="9.140625" style="32" customWidth="1"/>
    <col min="8" max="10" width="9.140625" style="31" hidden="1" customWidth="1"/>
    <col min="11" max="20" width="9.140625" style="31" customWidth="1"/>
    <col min="21" max="16384" width="9.140625" style="31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298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299</v>
      </c>
      <c r="C5" s="9" t="s">
        <v>300</v>
      </c>
      <c r="D5" s="9" t="s">
        <v>301</v>
      </c>
      <c r="E5" s="9" t="s">
        <v>302</v>
      </c>
      <c r="F5" s="10" t="s">
        <v>303</v>
      </c>
      <c r="G5" s="10" t="s">
        <v>304</v>
      </c>
      <c r="H5" t="s">
        <v>280</v>
      </c>
      <c r="I5" t="s">
        <v>279</v>
      </c>
      <c r="J5" s="21" t="s">
        <v>281</v>
      </c>
      <c r="K5"/>
      <c r="L5"/>
      <c r="M5"/>
      <c r="N5"/>
      <c r="O5"/>
    </row>
    <row r="6" spans="1:15" x14ac:dyDescent="0.25">
      <c r="A6" t="s">
        <v>305</v>
      </c>
      <c r="B6" s="8" t="s">
        <v>306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3">
        <f t="shared" ref="F6:F12" si="0">ROUND($E6/1724*100,2)</f>
        <v>88.75</v>
      </c>
      <c r="G6" s="13"/>
      <c r="H6"/>
      <c r="I6"/>
      <c r="J6" s="28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3">
        <f t="shared" si="0"/>
        <v>4.7</v>
      </c>
      <c r="G7" s="13">
        <f>ROUND($E7/SUM($E$7:$E$11)*100,3)</f>
        <v>41.753</v>
      </c>
      <c r="H7">
        <f>E7*10</f>
        <v>810</v>
      </c>
      <c r="I7"/>
      <c r="J7" s="13">
        <f>E11/SUM(E7:E11)</f>
        <v>2.5773195876288658E-2</v>
      </c>
      <c r="K7"/>
      <c r="L7"/>
      <c r="M7" s="16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3">
        <f t="shared" si="0"/>
        <v>4.6399999999999997</v>
      </c>
      <c r="G8" s="13">
        <f>ROUND($E8/SUM($E$7:$E$11)*100,3)</f>
        <v>41.237000000000002</v>
      </c>
      <c r="H8">
        <f>E8*8</f>
        <v>640</v>
      </c>
      <c r="I8"/>
      <c r="J8" s="13">
        <f>(E11+E10)/SUM(E7:E11)</f>
        <v>5.6701030927835051E-2</v>
      </c>
      <c r="K8"/>
      <c r="L8"/>
      <c r="M8" s="16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3">
        <f t="shared" si="0"/>
        <v>1.28</v>
      </c>
      <c r="G9" s="13">
        <f>ROUND($E9/SUM($E$7:$E$11)*100,3)</f>
        <v>11.34</v>
      </c>
      <c r="H9">
        <f>E9*6</f>
        <v>132</v>
      </c>
      <c r="I9"/>
      <c r="J9" s="13">
        <f>(E11+E10+E9)/SUM(E7:E11)</f>
        <v>0.17010309278350516</v>
      </c>
      <c r="K9"/>
      <c r="L9"/>
      <c r="M9" s="16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3">
        <f t="shared" si="0"/>
        <v>0.35</v>
      </c>
      <c r="G10" s="13">
        <f>ROUND($E10/SUM($E$7:$E$11)*100,3)</f>
        <v>3.093</v>
      </c>
      <c r="H10">
        <f>E10*4</f>
        <v>24</v>
      </c>
      <c r="I10"/>
      <c r="J10" s="13">
        <f>(E11+E10+E9+E8)/SUM(E7:E11)</f>
        <v>0.58247422680412375</v>
      </c>
      <c r="K10"/>
      <c r="L10"/>
      <c r="M10" s="16"/>
      <c r="N10"/>
      <c r="O10"/>
    </row>
    <row r="11" spans="1:15" x14ac:dyDescent="0.25">
      <c r="A11"/>
      <c r="B11" s="15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3">
        <f t="shared" si="0"/>
        <v>0.28999999999999998</v>
      </c>
      <c r="G11" s="13">
        <f>ROUND($E11/SUM($E$7:$E$11)*100,3)</f>
        <v>2.577</v>
      </c>
      <c r="H11">
        <f>E11*2</f>
        <v>10</v>
      </c>
      <c r="I11"/>
      <c r="J11" s="13">
        <f>(E11+E10+E9+E8+E7)/SUM(E7:E11)</f>
        <v>1</v>
      </c>
      <c r="K11"/>
      <c r="L11"/>
      <c r="M11" s="16"/>
      <c r="N11"/>
      <c r="O11"/>
    </row>
    <row r="12" spans="1:15" x14ac:dyDescent="0.25">
      <c r="A12"/>
      <c r="B12" s="8" t="s">
        <v>307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4">
        <f t="shared" si="0"/>
        <v>100</v>
      </c>
      <c r="G12" s="14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L12"/>
      <c r="M12" s="16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29"/>
      <c r="K13"/>
      <c r="L13"/>
      <c r="M13" s="16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0" t="s">
        <v>308</v>
      </c>
      <c r="C15" s="20" t="s">
        <v>309</v>
      </c>
      <c r="D15" s="9" t="s">
        <v>300</v>
      </c>
      <c r="E15" s="10" t="s">
        <v>303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3" t="s">
        <v>310</v>
      </c>
      <c r="C16" s="33" t="s">
        <v>22</v>
      </c>
      <c r="D16" s="17">
        <f>SUM(C10:C11)</f>
        <v>4</v>
      </c>
      <c r="E16" s="18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4" t="s">
        <v>311</v>
      </c>
      <c r="C17" s="34" t="s">
        <v>312</v>
      </c>
      <c r="D17" s="17">
        <f>C6</f>
        <v>767</v>
      </c>
      <c r="E17" s="18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5" t="s">
        <v>313</v>
      </c>
      <c r="C18" s="35" t="s">
        <v>24</v>
      </c>
      <c r="D18" s="17">
        <f>C9</f>
        <v>6</v>
      </c>
      <c r="E18" s="18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6" t="s">
        <v>314</v>
      </c>
      <c r="C19" s="36" t="s">
        <v>26</v>
      </c>
      <c r="D19" s="25">
        <f>SUM(C7:C8)</f>
        <v>56</v>
      </c>
      <c r="E19" s="26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19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19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0" t="s">
        <v>308</v>
      </c>
      <c r="C22" s="20" t="s">
        <v>309</v>
      </c>
      <c r="D22" s="9" t="s">
        <v>301</v>
      </c>
      <c r="E22" s="10" t="s">
        <v>303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3" t="s">
        <v>310</v>
      </c>
      <c r="C23" s="33" t="s">
        <v>22</v>
      </c>
      <c r="D23" s="17">
        <f>SUM(D10:D11)</f>
        <v>7</v>
      </c>
      <c r="E23" s="18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7" t="s">
        <v>311</v>
      </c>
      <c r="C24" s="37" t="s">
        <v>312</v>
      </c>
      <c r="D24" s="17">
        <f>D6</f>
        <v>446</v>
      </c>
      <c r="E24" s="18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5" t="s">
        <v>313</v>
      </c>
      <c r="C25" s="35" t="s">
        <v>24</v>
      </c>
      <c r="D25" s="17">
        <f>D9</f>
        <v>16</v>
      </c>
      <c r="E25" s="18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6" t="s">
        <v>314</v>
      </c>
      <c r="C26" s="36" t="s">
        <v>26</v>
      </c>
      <c r="D26" s="25">
        <f>SUM(D7:D8)</f>
        <v>105</v>
      </c>
      <c r="E26" s="26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2" t="s">
        <v>29</v>
      </c>
      <c r="C29" s="23" t="s">
        <v>279</v>
      </c>
      <c r="D29" s="24" t="s">
        <v>280</v>
      </c>
      <c r="E29" s="24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315</v>
      </c>
      <c r="C30" s="30">
        <f>I12</f>
        <v>10</v>
      </c>
      <c r="D30" s="30">
        <f>H12</f>
        <v>8.3298969072164954</v>
      </c>
      <c r="E30" s="30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Q30" sqref="Q30"/>
    </sheetView>
  </sheetViews>
  <sheetFormatPr defaultRowHeight="12.75" x14ac:dyDescent="0.2"/>
  <cols>
    <col min="1" max="1" width="5.85546875" customWidth="1"/>
  </cols>
  <sheetData>
    <row r="1" spans="1:7" ht="15" x14ac:dyDescent="0.25">
      <c r="A1" s="41">
        <v>5195</v>
      </c>
      <c r="B1" s="8"/>
    </row>
    <row r="2" spans="1:7" ht="15" x14ac:dyDescent="0.25">
      <c r="A2" s="8" t="str">
        <f>TEXT(A1,"0.000")</f>
        <v>5.195</v>
      </c>
      <c r="B2" s="8" t="str">
        <f>VLOOKUP(A$2, Eixo5[], 3, FALSE)</f>
        <v>Você utilizou as unidades e/ou serviços do Campus Pontal do Paraná em 2021?</v>
      </c>
    </row>
    <row r="3" spans="1:7" ht="15" x14ac:dyDescent="0.25">
      <c r="A3" s="8" t="s">
        <v>298</v>
      </c>
      <c r="B3" s="8" t="str">
        <f>VLOOKUP(A$2, Eixo5[], 4, FALSE)</f>
        <v>Eixo 5: questão 195</v>
      </c>
    </row>
    <row r="5" spans="1:7" ht="15" x14ac:dyDescent="0.25">
      <c r="B5" s="9" t="s">
        <v>299</v>
      </c>
      <c r="C5" s="9" t="s">
        <v>316</v>
      </c>
      <c r="D5" s="9" t="s">
        <v>301</v>
      </c>
      <c r="E5" s="9" t="s">
        <v>302</v>
      </c>
      <c r="F5" s="10" t="s">
        <v>303</v>
      </c>
      <c r="G5" s="9" t="s">
        <v>304</v>
      </c>
    </row>
    <row r="6" spans="1:7" ht="15" x14ac:dyDescent="0.25">
      <c r="B6" s="8" t="s">
        <v>317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COUNTIFS(Resp5[Vínculo],"tecnico",Resp5[5.195],B7)</f>
        <v>25</v>
      </c>
      <c r="D7" s="11">
        <f>COUNTIFS(Resp5[Vínculo],"docente",Resp5[5.195],B7)</f>
        <v>25</v>
      </c>
      <c r="E7" s="8">
        <f>COUNTIF(Resp5[5.195],B7)</f>
        <v>50</v>
      </c>
      <c r="F7" s="11">
        <f t="shared" ref="F7:F8" si="0">ROUND($E7/E$9*100,2)</f>
        <v>3.55</v>
      </c>
      <c r="G7" s="11">
        <f>ROUND($E7/SUM($E$7:$E$8)*100,2)</f>
        <v>3.55</v>
      </c>
    </row>
    <row r="8" spans="1:7" ht="15" x14ac:dyDescent="0.25">
      <c r="B8" s="8" t="s">
        <v>235</v>
      </c>
      <c r="C8" s="11">
        <f>COUNTIFS(Resp5[Vínculo],"tecnico",Resp5[5.195],B8)</f>
        <v>808</v>
      </c>
      <c r="D8" s="11">
        <f>COUNTIFS(Resp5[Vínculo],"docente",Resp5[5.195],B8)</f>
        <v>549</v>
      </c>
      <c r="E8" s="8">
        <f>COUNTIF(Resp5[5.195],B8)</f>
        <v>1357</v>
      </c>
      <c r="F8" s="40">
        <f t="shared" si="0"/>
        <v>96.45</v>
      </c>
      <c r="G8" s="11">
        <f>ROUND($E8/SUM($E$7:$E$8)*100,2)</f>
        <v>96.45</v>
      </c>
    </row>
    <row r="9" spans="1:7" ht="15" x14ac:dyDescent="0.25">
      <c r="B9" s="12" t="s">
        <v>307</v>
      </c>
      <c r="C9" s="12">
        <f>SUM(C6:C8)</f>
        <v>833</v>
      </c>
      <c r="D9" s="12">
        <f>SUM(D6:D8)</f>
        <v>574</v>
      </c>
      <c r="E9" s="12">
        <f>SUM(C9:D9)</f>
        <v>1407</v>
      </c>
      <c r="F9" s="11">
        <f>ROUND($E9/E$9*100,2)</f>
        <v>100</v>
      </c>
      <c r="G9" s="12">
        <f>SUM(G7:G8)</f>
        <v>100</v>
      </c>
    </row>
    <row r="17" spans="3:3" x14ac:dyDescent="0.2">
      <c r="C17" s="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5196</v>
      </c>
      <c r="B1" s="8"/>
      <c r="C1" s="8"/>
    </row>
    <row r="2" spans="1:13" ht="15" x14ac:dyDescent="0.25">
      <c r="A2" s="8" t="str">
        <f>TEXT(A1,"0.000")</f>
        <v>5.196</v>
      </c>
      <c r="B2" s="8" t="str">
        <f>VLOOKUP(A$2, Eixo5[], 3, FALSE)</f>
        <v>Avalie os serviços prestados pelas unidades do Campus Pontal do Paraná que você utilizou em 2021: [Direção: Secretaria, Administrativo, Orçamentário, TI]</v>
      </c>
    </row>
    <row r="3" spans="1:13" ht="15" x14ac:dyDescent="0.25">
      <c r="A3" s="8" t="s">
        <v>298</v>
      </c>
      <c r="B3" s="8" t="str">
        <f>VLOOKUP(A$2, Eixo5[], 4, FALSE)</f>
        <v>Eixo 5: questão 196</v>
      </c>
    </row>
    <row r="5" spans="1:13" ht="15" x14ac:dyDescent="0.25">
      <c r="B5" s="9" t="s">
        <v>299</v>
      </c>
      <c r="C5" s="9" t="s">
        <v>300</v>
      </c>
      <c r="D5" s="9" t="s">
        <v>301</v>
      </c>
      <c r="E5" s="9" t="s">
        <v>302</v>
      </c>
      <c r="F5" s="10" t="s">
        <v>303</v>
      </c>
      <c r="G5" s="10" t="s">
        <v>304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305</v>
      </c>
      <c r="B6" s="8" t="s">
        <v>306</v>
      </c>
      <c r="C6" s="8">
        <f>COUNTIF(Resp5[],"tecnico")-SUM(C$7:C$11)</f>
        <v>812</v>
      </c>
      <c r="D6" s="8">
        <f>COUNTIF(Resp5[],"docente")-SUM(D$7:D$11)</f>
        <v>551</v>
      </c>
      <c r="E6" s="11">
        <f>E12-SUM(E7:E11)</f>
        <v>1363</v>
      </c>
      <c r="F6" s="13">
        <f>ROUND($E6/E$12*100,2)</f>
        <v>96.87</v>
      </c>
      <c r="G6" s="13"/>
      <c r="J6" s="28"/>
    </row>
    <row r="7" spans="1:13" ht="15" x14ac:dyDescent="0.25">
      <c r="B7" s="8" t="s">
        <v>244</v>
      </c>
      <c r="C7" s="11">
        <f>COUNTIFS(Resp5[Vínculo],"tecnico",Resp5[5.196],B7)</f>
        <v>15</v>
      </c>
      <c r="D7" s="11">
        <f>COUNTIFS(Resp5[Vínculo],"docente",Resp5[5.196],B7)</f>
        <v>4</v>
      </c>
      <c r="E7" s="11">
        <f>COUNTIF(Resp5[5.196],B7)</f>
        <v>19</v>
      </c>
      <c r="F7" s="13">
        <f t="shared" ref="F7:F11" si="0">ROUND($E7/E$12*100,2)</f>
        <v>1.35</v>
      </c>
      <c r="G7" s="13">
        <f>ROUND($E7/SUM($E$7:$E$11)*100,3)</f>
        <v>43.182000000000002</v>
      </c>
      <c r="H7">
        <f>E7*10</f>
        <v>190</v>
      </c>
      <c r="J7" s="13">
        <f>E11/SUM(E7:E11)</f>
        <v>9.0909090909090912E-2</v>
      </c>
      <c r="M7" s="16"/>
    </row>
    <row r="8" spans="1:13" ht="15" x14ac:dyDescent="0.25">
      <c r="B8" s="8" t="s">
        <v>239</v>
      </c>
      <c r="C8" s="11">
        <f>COUNTIFS(Resp5[Vínculo],"tecnico",Resp5[5.196],B8)</f>
        <v>4</v>
      </c>
      <c r="D8" s="11">
        <f>COUNTIFS(Resp5[Vínculo],"docente",Resp5[5.196],B8)</f>
        <v>8</v>
      </c>
      <c r="E8" s="11">
        <f>COUNTIF(Resp5[5.196],B8)</f>
        <v>12</v>
      </c>
      <c r="F8" s="13">
        <f t="shared" si="0"/>
        <v>0.85</v>
      </c>
      <c r="G8" s="13">
        <f>ROUND($E8/SUM($E$7:$E$11)*100,3)</f>
        <v>27.273</v>
      </c>
      <c r="H8">
        <f>E8*8</f>
        <v>96</v>
      </c>
      <c r="J8" s="13">
        <f>(E11+E10)/SUM(E7:E11)</f>
        <v>0.20454545454545456</v>
      </c>
      <c r="M8" s="16"/>
    </row>
    <row r="9" spans="1:13" ht="15" x14ac:dyDescent="0.25">
      <c r="B9" s="8" t="s">
        <v>237</v>
      </c>
      <c r="C9" s="11">
        <f>COUNTIFS(Resp5[Vínculo],"tecnico",Resp5[5.196],B9)</f>
        <v>0</v>
      </c>
      <c r="D9" s="11">
        <f>COUNTIFS(Resp5[Vínculo],"docente",Resp5[5.196],B9)</f>
        <v>4</v>
      </c>
      <c r="E9" s="11">
        <f>COUNTIF(Resp5[5.196],B9)</f>
        <v>4</v>
      </c>
      <c r="F9" s="13">
        <f t="shared" si="0"/>
        <v>0.28000000000000003</v>
      </c>
      <c r="G9" s="13">
        <f>ROUND($E9/SUM($E$7:$E$11)*100,3)</f>
        <v>9.0909999999999993</v>
      </c>
      <c r="H9">
        <f>E9*6</f>
        <v>24</v>
      </c>
      <c r="J9" s="13">
        <f>(E11+E10+E9)/SUM(E7:E11)</f>
        <v>0.29545454545454547</v>
      </c>
      <c r="M9" s="16"/>
    </row>
    <row r="10" spans="1:13" ht="15" x14ac:dyDescent="0.25">
      <c r="B10" s="8" t="s">
        <v>242</v>
      </c>
      <c r="C10" s="11">
        <f>COUNTIFS(Resp5[Vínculo],"tecnico",Resp5[5.196],B10)</f>
        <v>0</v>
      </c>
      <c r="D10" s="11">
        <f>COUNTIFS(Resp5[Vínculo],"docente",Resp5[5.196],B10)</f>
        <v>5</v>
      </c>
      <c r="E10" s="11">
        <f>COUNTIF(Resp5[5.196],B10)</f>
        <v>5</v>
      </c>
      <c r="F10" s="13">
        <f t="shared" si="0"/>
        <v>0.36</v>
      </c>
      <c r="G10" s="13">
        <f>ROUND($E10/SUM($E$7:$E$11)*100,3)</f>
        <v>11.364000000000001</v>
      </c>
      <c r="H10">
        <f>E10*4</f>
        <v>20</v>
      </c>
      <c r="J10" s="13">
        <f>(E11+E10+E9+E8)/SUM(E7:E11)</f>
        <v>0.56818181818181823</v>
      </c>
      <c r="M10" s="16"/>
    </row>
    <row r="11" spans="1:13" ht="15" x14ac:dyDescent="0.25">
      <c r="B11" s="15" t="s">
        <v>241</v>
      </c>
      <c r="C11" s="11">
        <f>COUNTIFS(Resp5[Vínculo],"tecnico",Resp5[5.196],B11)</f>
        <v>2</v>
      </c>
      <c r="D11" s="11">
        <f>COUNTIFS(Resp5[Vínculo],"docente",Resp5[5.196],B11)</f>
        <v>2</v>
      </c>
      <c r="E11" s="11">
        <f>COUNTIF(Resp5[5.196],B11)</f>
        <v>4</v>
      </c>
      <c r="F11" s="39">
        <f t="shared" si="0"/>
        <v>0.28000000000000003</v>
      </c>
      <c r="G11" s="13">
        <f>ROUND($E11/SUM($E$7:$E$11)*100,3)</f>
        <v>9.0909999999999993</v>
      </c>
      <c r="H11">
        <f>E11*2</f>
        <v>8</v>
      </c>
      <c r="J11" s="13">
        <f>(E11+E10+E9+E8+E7)/SUM(E7:E11)</f>
        <v>1</v>
      </c>
      <c r="M11" s="16"/>
    </row>
    <row r="12" spans="1:13" ht="15" x14ac:dyDescent="0.25">
      <c r="B12" s="8" t="s">
        <v>307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100.00099999999999</v>
      </c>
      <c r="H12">
        <f>SUM(H7:H11)/SUM(E7:E11)</f>
        <v>7.6818181818181817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308</v>
      </c>
      <c r="C15" s="20" t="s">
        <v>309</v>
      </c>
      <c r="D15" s="9" t="s">
        <v>300</v>
      </c>
      <c r="E15" s="10" t="s">
        <v>303</v>
      </c>
    </row>
    <row r="16" spans="1:13" ht="15" x14ac:dyDescent="0.25">
      <c r="B16" s="33" t="s">
        <v>310</v>
      </c>
      <c r="C16" s="33" t="s">
        <v>22</v>
      </c>
      <c r="D16" s="17">
        <f>SUM(C10:C11)</f>
        <v>2</v>
      </c>
      <c r="E16" s="18">
        <f>ROUND(D16/SUM(D$16:D$18)*100,3)</f>
        <v>9.5239999999999991</v>
      </c>
    </row>
    <row r="17" spans="2:5" ht="15" x14ac:dyDescent="0.25">
      <c r="B17" s="35" t="s">
        <v>313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314</v>
      </c>
      <c r="C18" s="38" t="s">
        <v>26</v>
      </c>
      <c r="D18" s="25">
        <f>SUM(C7:C8)</f>
        <v>19</v>
      </c>
      <c r="E18" s="26">
        <f>ROUND(D18/SUM(D$16:D$18)*100,3)</f>
        <v>90.475999999999999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308</v>
      </c>
      <c r="C21" s="20" t="s">
        <v>309</v>
      </c>
      <c r="D21" s="9" t="s">
        <v>301</v>
      </c>
      <c r="E21" s="10" t="s">
        <v>303</v>
      </c>
    </row>
    <row r="22" spans="2:5" ht="15" x14ac:dyDescent="0.25">
      <c r="B22" s="33" t="s">
        <v>310</v>
      </c>
      <c r="C22" s="33" t="s">
        <v>22</v>
      </c>
      <c r="D22" s="17">
        <f>SUM(D10:D11)</f>
        <v>7</v>
      </c>
      <c r="E22" s="18">
        <f>ROUND(D22/SUM(D$22:D$24)*100,3)</f>
        <v>30.434999999999999</v>
      </c>
    </row>
    <row r="23" spans="2:5" ht="15" x14ac:dyDescent="0.25">
      <c r="B23" s="35" t="s">
        <v>313</v>
      </c>
      <c r="C23" s="35" t="s">
        <v>24</v>
      </c>
      <c r="D23" s="17">
        <f>D9</f>
        <v>4</v>
      </c>
      <c r="E23" s="18">
        <f>ROUND(D23/SUM(D$22:D$24)*100,3)</f>
        <v>17.390999999999998</v>
      </c>
    </row>
    <row r="24" spans="2:5" ht="15" x14ac:dyDescent="0.25">
      <c r="B24" s="38" t="s">
        <v>314</v>
      </c>
      <c r="C24" s="38" t="s">
        <v>26</v>
      </c>
      <c r="D24" s="25">
        <f>SUM(D7:D8)</f>
        <v>12</v>
      </c>
      <c r="E24" s="26">
        <f>ROUND(D24/SUM(D$22:D$24)*100,3)</f>
        <v>52.173999999999999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315</v>
      </c>
      <c r="C28" s="30">
        <f>I12</f>
        <v>10</v>
      </c>
      <c r="D28" s="30">
        <f>H12</f>
        <v>7.6818181818181817</v>
      </c>
      <c r="E28" s="30">
        <f>J12</f>
        <v>8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5197</v>
      </c>
      <c r="B1" s="8"/>
      <c r="C1" s="8"/>
    </row>
    <row r="2" spans="1:13" ht="15" x14ac:dyDescent="0.25">
      <c r="A2" s="8" t="str">
        <f>TEXT(A1,"0.000")</f>
        <v>5.197</v>
      </c>
      <c r="B2" s="8" t="str">
        <f>VLOOKUP(A$2, Eixo5[], 3, FALSE)</f>
        <v>Avalie os serviços prestados pelas unidades do Campus Pontal do Paraná que você utilizou em 2021: [Secretarias das Coordenações de Cursos de Graduação]</v>
      </c>
    </row>
    <row r="3" spans="1:13" ht="15" x14ac:dyDescent="0.25">
      <c r="A3" s="8" t="s">
        <v>298</v>
      </c>
      <c r="B3" s="8" t="str">
        <f>VLOOKUP(A$2, Eixo5[], 4, FALSE)</f>
        <v>Eixo 5: questão 197</v>
      </c>
    </row>
    <row r="5" spans="1:13" ht="15" x14ac:dyDescent="0.25">
      <c r="B5" s="9" t="s">
        <v>299</v>
      </c>
      <c r="C5" s="9" t="s">
        <v>300</v>
      </c>
      <c r="D5" s="9" t="s">
        <v>301</v>
      </c>
      <c r="E5" s="9" t="s">
        <v>302</v>
      </c>
      <c r="F5" s="10" t="s">
        <v>303</v>
      </c>
      <c r="G5" s="10" t="s">
        <v>304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305</v>
      </c>
      <c r="B6" s="8" t="s">
        <v>306</v>
      </c>
      <c r="C6" s="8">
        <f>COUNTIF(Resp5[],"tecnico")-SUM(C$7:C$11)</f>
        <v>821</v>
      </c>
      <c r="D6" s="8">
        <f>COUNTIF(Resp5[],"docente")-SUM(D$7:D$11)</f>
        <v>552</v>
      </c>
      <c r="E6" s="11">
        <f>E12-SUM(E7:E11)</f>
        <v>1373</v>
      </c>
      <c r="F6" s="13">
        <f>ROUND($E6/E$12*100,2)</f>
        <v>97.58</v>
      </c>
      <c r="G6" s="13"/>
      <c r="J6" s="28"/>
    </row>
    <row r="7" spans="1:13" ht="15" x14ac:dyDescent="0.25">
      <c r="B7" s="8" t="s">
        <v>244</v>
      </c>
      <c r="C7" s="11">
        <f>COUNTIFS(Resp5[Vínculo],"tecnico",Resp5[5.197],B7)</f>
        <v>10</v>
      </c>
      <c r="D7" s="11">
        <f>COUNTIFS(Resp5[Vínculo],"docente",Resp5[5.197],B7)</f>
        <v>8</v>
      </c>
      <c r="E7" s="11">
        <f>COUNTIF(Resp5[5.197],B7)</f>
        <v>18</v>
      </c>
      <c r="F7" s="13">
        <f t="shared" ref="F7:F11" si="0">ROUND($E7/E$12*100,2)</f>
        <v>1.28</v>
      </c>
      <c r="G7" s="13">
        <f>ROUND($E7/SUM($E$7:$E$11)*100,3)</f>
        <v>52.941000000000003</v>
      </c>
      <c r="H7">
        <f>E7*10</f>
        <v>180</v>
      </c>
      <c r="J7" s="13">
        <f>E11/SUM(E7:E11)</f>
        <v>2.9411764705882353E-2</v>
      </c>
      <c r="M7" s="16"/>
    </row>
    <row r="8" spans="1:13" ht="15" x14ac:dyDescent="0.25">
      <c r="B8" s="8" t="s">
        <v>239</v>
      </c>
      <c r="C8" s="11">
        <f>COUNTIFS(Resp5[Vínculo],"tecnico",Resp5[5.197],B8)</f>
        <v>1</v>
      </c>
      <c r="D8" s="11">
        <f>COUNTIFS(Resp5[Vínculo],"docente",Resp5[5.197],B8)</f>
        <v>10</v>
      </c>
      <c r="E8" s="11">
        <f>COUNTIF(Resp5[5.197],B8)</f>
        <v>11</v>
      </c>
      <c r="F8" s="13">
        <f t="shared" si="0"/>
        <v>0.78</v>
      </c>
      <c r="G8" s="13">
        <f>ROUND($E8/SUM($E$7:$E$11)*100,3)</f>
        <v>32.353000000000002</v>
      </c>
      <c r="H8">
        <f>E8*8</f>
        <v>88</v>
      </c>
      <c r="J8" s="13">
        <f>(E11+E10)/SUM(E7:E11)</f>
        <v>5.8823529411764705E-2</v>
      </c>
      <c r="M8" s="16"/>
    </row>
    <row r="9" spans="1:13" ht="15" x14ac:dyDescent="0.25">
      <c r="B9" s="8" t="s">
        <v>237</v>
      </c>
      <c r="C9" s="11">
        <f>COUNTIFS(Resp5[Vínculo],"tecnico",Resp5[5.197],B9)</f>
        <v>0</v>
      </c>
      <c r="D9" s="11">
        <f>COUNTIFS(Resp5[Vínculo],"docente",Resp5[5.197],B9)</f>
        <v>3</v>
      </c>
      <c r="E9" s="11">
        <f>COUNTIF(Resp5[5.197],B9)</f>
        <v>3</v>
      </c>
      <c r="F9" s="13">
        <f t="shared" si="0"/>
        <v>0.21</v>
      </c>
      <c r="G9" s="13">
        <f>ROUND($E9/SUM($E$7:$E$11)*100,3)</f>
        <v>8.8239999999999998</v>
      </c>
      <c r="H9">
        <f>E9*6</f>
        <v>18</v>
      </c>
      <c r="J9" s="13">
        <f>(E11+E10+E9)/SUM(E7:E11)</f>
        <v>0.14705882352941177</v>
      </c>
      <c r="M9" s="16"/>
    </row>
    <row r="10" spans="1:13" ht="15" x14ac:dyDescent="0.25">
      <c r="B10" s="8" t="s">
        <v>242</v>
      </c>
      <c r="C10" s="11">
        <f>COUNTIFS(Resp5[Vínculo],"tecnico",Resp5[5.197],B10)</f>
        <v>0</v>
      </c>
      <c r="D10" s="11">
        <f>COUNTIFS(Resp5[Vínculo],"docente",Resp5[5.197],B10)</f>
        <v>1</v>
      </c>
      <c r="E10" s="11">
        <f>COUNTIF(Resp5[5.197],B10)</f>
        <v>1</v>
      </c>
      <c r="F10" s="13">
        <f t="shared" si="0"/>
        <v>7.0000000000000007E-2</v>
      </c>
      <c r="G10" s="13">
        <f>ROUND($E10/SUM($E$7:$E$11)*100,3)</f>
        <v>2.9409999999999998</v>
      </c>
      <c r="H10">
        <f>E10*4</f>
        <v>4</v>
      </c>
      <c r="J10" s="13">
        <f>(E11+E10+E9+E8)/SUM(E7:E11)</f>
        <v>0.47058823529411764</v>
      </c>
      <c r="M10" s="16"/>
    </row>
    <row r="11" spans="1:13" ht="15" x14ac:dyDescent="0.25">
      <c r="B11" s="15" t="s">
        <v>241</v>
      </c>
      <c r="C11" s="11">
        <f>COUNTIFS(Resp5[Vínculo],"tecnico",Resp5[5.197],B11)</f>
        <v>1</v>
      </c>
      <c r="D11" s="11">
        <f>COUNTIFS(Resp5[Vínculo],"docente",Resp5[5.197],B11)</f>
        <v>0</v>
      </c>
      <c r="E11" s="11">
        <f>COUNTIF(Resp5[5.197],B11)</f>
        <v>1</v>
      </c>
      <c r="F11" s="39">
        <f t="shared" si="0"/>
        <v>7.0000000000000007E-2</v>
      </c>
      <c r="G11" s="13">
        <f>ROUND($E11/SUM($E$7:$E$11)*100,3)</f>
        <v>2.9409999999999998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307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100.00000000000001</v>
      </c>
      <c r="H12">
        <f>SUM(H7:H11)/SUM(E7:E11)</f>
        <v>8.5882352941176467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308</v>
      </c>
      <c r="C15" s="20" t="s">
        <v>309</v>
      </c>
      <c r="D15" s="9" t="s">
        <v>300</v>
      </c>
      <c r="E15" s="10" t="s">
        <v>303</v>
      </c>
    </row>
    <row r="16" spans="1:13" ht="15" x14ac:dyDescent="0.25">
      <c r="B16" s="33" t="s">
        <v>310</v>
      </c>
      <c r="C16" s="33" t="s">
        <v>22</v>
      </c>
      <c r="D16" s="17">
        <f>SUM(C10:C11)</f>
        <v>1</v>
      </c>
      <c r="E16" s="18">
        <f>ROUND(D16/SUM(D$16:D$18)*100,3)</f>
        <v>8.3330000000000002</v>
      </c>
    </row>
    <row r="17" spans="2:5" ht="15" x14ac:dyDescent="0.25">
      <c r="B17" s="35" t="s">
        <v>313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314</v>
      </c>
      <c r="C18" s="38" t="s">
        <v>26</v>
      </c>
      <c r="D18" s="25">
        <f>SUM(C7:C8)</f>
        <v>11</v>
      </c>
      <c r="E18" s="26">
        <f>ROUND(D18/SUM(D$16:D$18)*100,3)</f>
        <v>91.667000000000002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308</v>
      </c>
      <c r="C21" s="20" t="s">
        <v>309</v>
      </c>
      <c r="D21" s="9" t="s">
        <v>301</v>
      </c>
      <c r="E21" s="10" t="s">
        <v>303</v>
      </c>
    </row>
    <row r="22" spans="2:5" ht="15" x14ac:dyDescent="0.25">
      <c r="B22" s="33" t="s">
        <v>310</v>
      </c>
      <c r="C22" s="33" t="s">
        <v>22</v>
      </c>
      <c r="D22" s="17">
        <f>SUM(D10:D11)</f>
        <v>1</v>
      </c>
      <c r="E22" s="18">
        <f>ROUND(D22/SUM(D$22:D$24)*100,3)</f>
        <v>4.5449999999999999</v>
      </c>
    </row>
    <row r="23" spans="2:5" ht="15" x14ac:dyDescent="0.25">
      <c r="B23" s="35" t="s">
        <v>313</v>
      </c>
      <c r="C23" s="35" t="s">
        <v>24</v>
      </c>
      <c r="D23" s="17">
        <f>D9</f>
        <v>3</v>
      </c>
      <c r="E23" s="18">
        <f>ROUND(D23/SUM(D$22:D$24)*100,3)</f>
        <v>13.635999999999999</v>
      </c>
    </row>
    <row r="24" spans="2:5" ht="15" x14ac:dyDescent="0.25">
      <c r="B24" s="38" t="s">
        <v>314</v>
      </c>
      <c r="C24" s="38" t="s">
        <v>26</v>
      </c>
      <c r="D24" s="25">
        <f>SUM(D7:D8)</f>
        <v>18</v>
      </c>
      <c r="E24" s="26">
        <f>ROUND(D24/SUM(D$22:D$24)*100,3)</f>
        <v>81.817999999999998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315</v>
      </c>
      <c r="C28" s="30">
        <f>I12</f>
        <v>10</v>
      </c>
      <c r="D28" s="30">
        <f>H12</f>
        <v>8.5882352941176467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5198</v>
      </c>
      <c r="B1" s="8"/>
      <c r="C1" s="8"/>
    </row>
    <row r="2" spans="1:13" ht="15" x14ac:dyDescent="0.25">
      <c r="A2" s="8" t="str">
        <f>TEXT(A1,"0.000")</f>
        <v>5.198</v>
      </c>
      <c r="B2" s="8" t="str">
        <f>VLOOKUP(A$2, Eixo5[], 3, FALSE)</f>
        <v>Avalie os serviços prestados pelas unidades do Campus Pontal do Paraná que você utilizou em 2021: [Secretarias de Programas de Pós-Graduação]</v>
      </c>
    </row>
    <row r="3" spans="1:13" ht="15" x14ac:dyDescent="0.25">
      <c r="A3" s="8" t="s">
        <v>298</v>
      </c>
      <c r="B3" s="8" t="str">
        <f>VLOOKUP(A$2, Eixo5[], 4, FALSE)</f>
        <v>Eixo 5: questão 198</v>
      </c>
    </row>
    <row r="5" spans="1:13" ht="15" x14ac:dyDescent="0.25">
      <c r="B5" s="9" t="s">
        <v>299</v>
      </c>
      <c r="C5" s="9" t="s">
        <v>300</v>
      </c>
      <c r="D5" s="9" t="s">
        <v>301</v>
      </c>
      <c r="E5" s="9" t="s">
        <v>302</v>
      </c>
      <c r="F5" s="10" t="s">
        <v>303</v>
      </c>
      <c r="G5" s="10" t="s">
        <v>304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305</v>
      </c>
      <c r="B6" s="8" t="s">
        <v>306</v>
      </c>
      <c r="C6" s="8">
        <f>COUNTIF(Resp5[],"tecnico")-SUM(C$7:C$11)</f>
        <v>825</v>
      </c>
      <c r="D6" s="8">
        <f>COUNTIF(Resp5[],"docente")-SUM(D$7:D$11)</f>
        <v>564</v>
      </c>
      <c r="E6" s="11">
        <f>E12-SUM(E7:E11)</f>
        <v>1389</v>
      </c>
      <c r="F6" s="13">
        <f>ROUND($E6/E$12*100,2)</f>
        <v>98.72</v>
      </c>
      <c r="G6" s="13"/>
      <c r="J6" s="28"/>
    </row>
    <row r="7" spans="1:13" ht="15" x14ac:dyDescent="0.25">
      <c r="B7" s="8" t="s">
        <v>244</v>
      </c>
      <c r="C7" s="11">
        <f>COUNTIFS(Resp5[Vínculo],"tecnico",Resp5[5.198],B7)</f>
        <v>6</v>
      </c>
      <c r="D7" s="11">
        <f>COUNTIFS(Resp5[Vínculo],"docente",Resp5[5.198],B7)</f>
        <v>5</v>
      </c>
      <c r="E7" s="11">
        <f>COUNTIF(Resp5[5.198],B7)</f>
        <v>11</v>
      </c>
      <c r="F7" s="13">
        <f t="shared" ref="F7:F11" si="0">ROUND($E7/E$12*100,2)</f>
        <v>0.78</v>
      </c>
      <c r="G7" s="13">
        <f>ROUND($E7/SUM($E$7:$E$11)*100,3)</f>
        <v>61.110999999999997</v>
      </c>
      <c r="H7">
        <f>E7*10</f>
        <v>110</v>
      </c>
      <c r="J7" s="13">
        <f>E11/SUM(E7:E11)</f>
        <v>5.5555555555555552E-2</v>
      </c>
      <c r="M7" s="16"/>
    </row>
    <row r="8" spans="1:13" ht="15" x14ac:dyDescent="0.25">
      <c r="B8" s="8" t="s">
        <v>239</v>
      </c>
      <c r="C8" s="11">
        <f>COUNTIFS(Resp5[Vínculo],"tecnico",Resp5[5.198],B8)</f>
        <v>1</v>
      </c>
      <c r="D8" s="11">
        <f>COUNTIFS(Resp5[Vínculo],"docente",Resp5[5.198],B8)</f>
        <v>2</v>
      </c>
      <c r="E8" s="11">
        <f>COUNTIF(Resp5[5.198],B8)</f>
        <v>3</v>
      </c>
      <c r="F8" s="13">
        <f t="shared" si="0"/>
        <v>0.21</v>
      </c>
      <c r="G8" s="13">
        <f>ROUND($E8/SUM($E$7:$E$11)*100,3)</f>
        <v>16.667000000000002</v>
      </c>
      <c r="H8">
        <f>E8*8</f>
        <v>24</v>
      </c>
      <c r="J8" s="13">
        <f>(E11+E10)/SUM(E7:E11)</f>
        <v>5.5555555555555552E-2</v>
      </c>
      <c r="M8" s="16"/>
    </row>
    <row r="9" spans="1:13" ht="15" x14ac:dyDescent="0.25">
      <c r="B9" s="8" t="s">
        <v>237</v>
      </c>
      <c r="C9" s="11">
        <f>COUNTIFS(Resp5[Vínculo],"tecnico",Resp5[5.198],B9)</f>
        <v>0</v>
      </c>
      <c r="D9" s="11">
        <f>COUNTIFS(Resp5[Vínculo],"docente",Resp5[5.198],B9)</f>
        <v>3</v>
      </c>
      <c r="E9" s="11">
        <f>COUNTIF(Resp5[5.198],B9)</f>
        <v>3</v>
      </c>
      <c r="F9" s="13">
        <f t="shared" si="0"/>
        <v>0.21</v>
      </c>
      <c r="G9" s="13">
        <f>ROUND($E9/SUM($E$7:$E$11)*100,3)</f>
        <v>16.667000000000002</v>
      </c>
      <c r="H9">
        <f>E9*6</f>
        <v>18</v>
      </c>
      <c r="J9" s="13">
        <f>(E11+E10+E9)/SUM(E7:E11)</f>
        <v>0.22222222222222221</v>
      </c>
      <c r="M9" s="16"/>
    </row>
    <row r="10" spans="1:13" ht="15" x14ac:dyDescent="0.25">
      <c r="B10" s="8" t="s">
        <v>242</v>
      </c>
      <c r="C10" s="11">
        <f>COUNTIFS(Resp5[Vínculo],"tecnico",Resp5[5.198],B10)</f>
        <v>0</v>
      </c>
      <c r="D10" s="11">
        <f>COUNTIFS(Resp5[Vínculo],"docente",Resp5[5.198],B10)</f>
        <v>0</v>
      </c>
      <c r="E10" s="11">
        <f>COUNTIF(Resp5[5.198],B10)</f>
        <v>0</v>
      </c>
      <c r="F10" s="13">
        <f t="shared" si="0"/>
        <v>0</v>
      </c>
      <c r="G10" s="13">
        <f>ROUND($E10/SUM($E$7:$E$11)*100,3)</f>
        <v>0</v>
      </c>
      <c r="H10">
        <f>E10*4</f>
        <v>0</v>
      </c>
      <c r="J10" s="13">
        <f>(E11+E10+E9+E8)/SUM(E7:E11)</f>
        <v>0.3888888888888889</v>
      </c>
      <c r="M10" s="16"/>
    </row>
    <row r="11" spans="1:13" ht="15" x14ac:dyDescent="0.25">
      <c r="B11" s="15" t="s">
        <v>241</v>
      </c>
      <c r="C11" s="11">
        <f>COUNTIFS(Resp5[Vínculo],"tecnico",Resp5[5.198],B11)</f>
        <v>1</v>
      </c>
      <c r="D11" s="11">
        <f>COUNTIFS(Resp5[Vínculo],"docente",Resp5[5.198],B11)</f>
        <v>0</v>
      </c>
      <c r="E11" s="11">
        <f>COUNTIF(Resp5[5.198],B11)</f>
        <v>1</v>
      </c>
      <c r="F11" s="39">
        <f t="shared" si="0"/>
        <v>7.0000000000000007E-2</v>
      </c>
      <c r="G11" s="13">
        <f>ROUND($E11/SUM($E$7:$E$11)*100,3)</f>
        <v>5.556</v>
      </c>
      <c r="H11">
        <f>E11*2</f>
        <v>2</v>
      </c>
      <c r="J11" s="13">
        <f>(E11+E10+E9+E8+E7)/SUM(E7:E11)</f>
        <v>1</v>
      </c>
      <c r="M11" s="16"/>
    </row>
    <row r="12" spans="1:13" ht="15" x14ac:dyDescent="0.25">
      <c r="B12" s="8" t="s">
        <v>307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100.00099999999999</v>
      </c>
      <c r="H12">
        <f>SUM(H7:H11)/SUM(E7:E11)</f>
        <v>8.5555555555555554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10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308</v>
      </c>
      <c r="C15" s="20" t="s">
        <v>309</v>
      </c>
      <c r="D15" s="9" t="s">
        <v>300</v>
      </c>
      <c r="E15" s="10" t="s">
        <v>303</v>
      </c>
    </row>
    <row r="16" spans="1:13" ht="15" x14ac:dyDescent="0.25">
      <c r="B16" s="33" t="s">
        <v>310</v>
      </c>
      <c r="C16" s="33" t="s">
        <v>22</v>
      </c>
      <c r="D16" s="17">
        <f>SUM(C10:C11)</f>
        <v>1</v>
      </c>
      <c r="E16" s="18">
        <f>ROUND(D16/SUM(D$16:D$18)*100,3)</f>
        <v>12.5</v>
      </c>
    </row>
    <row r="17" spans="2:5" ht="15" x14ac:dyDescent="0.25">
      <c r="B17" s="35" t="s">
        <v>313</v>
      </c>
      <c r="C17" s="35" t="s">
        <v>24</v>
      </c>
      <c r="D17" s="17">
        <f>C9</f>
        <v>0</v>
      </c>
      <c r="E17" s="18">
        <f>ROUND(D17/SUM(D$16:D$18)*100,3)</f>
        <v>0</v>
      </c>
    </row>
    <row r="18" spans="2:5" ht="15" x14ac:dyDescent="0.25">
      <c r="B18" s="38" t="s">
        <v>314</v>
      </c>
      <c r="C18" s="38" t="s">
        <v>26</v>
      </c>
      <c r="D18" s="25">
        <f>SUM(C7:C8)</f>
        <v>7</v>
      </c>
      <c r="E18" s="26">
        <f>ROUND(D18/SUM(D$16:D$18)*100,3)</f>
        <v>87.5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308</v>
      </c>
      <c r="C21" s="20" t="s">
        <v>309</v>
      </c>
      <c r="D21" s="9" t="s">
        <v>301</v>
      </c>
      <c r="E21" s="10" t="s">
        <v>303</v>
      </c>
    </row>
    <row r="22" spans="2:5" ht="15" x14ac:dyDescent="0.25">
      <c r="B22" s="33" t="s">
        <v>310</v>
      </c>
      <c r="C22" s="33" t="s">
        <v>22</v>
      </c>
      <c r="D22" s="17">
        <f>SUM(D10:D11)</f>
        <v>0</v>
      </c>
      <c r="E22" s="18">
        <f>ROUND(D22/SUM(D$22:D$24)*100,3)</f>
        <v>0</v>
      </c>
    </row>
    <row r="23" spans="2:5" ht="15" x14ac:dyDescent="0.25">
      <c r="B23" s="35" t="s">
        <v>313</v>
      </c>
      <c r="C23" s="35" t="s">
        <v>24</v>
      </c>
      <c r="D23" s="17">
        <f>D9</f>
        <v>3</v>
      </c>
      <c r="E23" s="18">
        <f>ROUND(D23/SUM(D$22:D$24)*100,3)</f>
        <v>30</v>
      </c>
    </row>
    <row r="24" spans="2:5" ht="15" x14ac:dyDescent="0.25">
      <c r="B24" s="38" t="s">
        <v>314</v>
      </c>
      <c r="C24" s="38" t="s">
        <v>26</v>
      </c>
      <c r="D24" s="25">
        <f>SUM(D7:D8)</f>
        <v>7</v>
      </c>
      <c r="E24" s="26">
        <f>ROUND(D24/SUM(D$22:D$24)*100,3)</f>
        <v>70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315</v>
      </c>
      <c r="C28" s="30">
        <f>I12</f>
        <v>10</v>
      </c>
      <c r="D28" s="30">
        <f>H12</f>
        <v>8.5555555555555554</v>
      </c>
      <c r="E28" s="30">
        <f>J12</f>
        <v>10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85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41">
        <v>5199</v>
      </c>
      <c r="B1" s="8"/>
      <c r="C1" s="8"/>
    </row>
    <row r="2" spans="1:13" ht="15" x14ac:dyDescent="0.25">
      <c r="A2" s="8" t="str">
        <f>TEXT(A1,"0.000")</f>
        <v>5.199</v>
      </c>
      <c r="B2" s="8" t="str">
        <f>VLOOKUP(A$2, Eixo5[], 3, FALSE)</f>
        <v>Avalie os serviços prestados pelas unidades do Campus Pontal do Paraná que você utilizou em 2021: [Laboratórios, Clínicas, Oficinas, Ateliês e/ou equivalentes]</v>
      </c>
    </row>
    <row r="3" spans="1:13" ht="15" x14ac:dyDescent="0.25">
      <c r="A3" s="8" t="s">
        <v>298</v>
      </c>
      <c r="B3" s="8" t="str">
        <f>VLOOKUP(A$2, Eixo5[], 4, FALSE)</f>
        <v>Eixo 5: questão 199</v>
      </c>
    </row>
    <row r="5" spans="1:13" ht="15" x14ac:dyDescent="0.25">
      <c r="B5" s="9" t="s">
        <v>299</v>
      </c>
      <c r="C5" s="9" t="s">
        <v>300</v>
      </c>
      <c r="D5" s="9" t="s">
        <v>301</v>
      </c>
      <c r="E5" s="9" t="s">
        <v>302</v>
      </c>
      <c r="F5" s="10" t="s">
        <v>303</v>
      </c>
      <c r="G5" s="10" t="s">
        <v>304</v>
      </c>
      <c r="H5" t="s">
        <v>280</v>
      </c>
      <c r="I5" t="s">
        <v>279</v>
      </c>
      <c r="J5" s="21" t="s">
        <v>281</v>
      </c>
    </row>
    <row r="6" spans="1:13" ht="15" x14ac:dyDescent="0.25">
      <c r="A6" t="s">
        <v>305</v>
      </c>
      <c r="B6" s="8" t="s">
        <v>306</v>
      </c>
      <c r="C6" s="8">
        <f>COUNTIF(Resp5[],"tecnico")-SUM(C$7:C$11)</f>
        <v>823</v>
      </c>
      <c r="D6" s="8">
        <f>COUNTIF(Resp5[],"docente")-SUM(D$7:D$11)</f>
        <v>562</v>
      </c>
      <c r="E6" s="11">
        <f>E12-SUM(E7:E11)</f>
        <v>1385</v>
      </c>
      <c r="F6" s="13">
        <f>ROUND($E6/E$12*100,2)</f>
        <v>98.44</v>
      </c>
      <c r="G6" s="13"/>
      <c r="J6" s="28"/>
    </row>
    <row r="7" spans="1:13" ht="15" x14ac:dyDescent="0.25">
      <c r="B7" s="8" t="s">
        <v>244</v>
      </c>
      <c r="C7" s="11">
        <f>COUNTIFS(Resp5[Vínculo],"tecnico",Resp5[5.199],B7)</f>
        <v>7</v>
      </c>
      <c r="D7" s="11">
        <f>COUNTIFS(Resp5[Vínculo],"docente",Resp5[5.199],B7)</f>
        <v>4</v>
      </c>
      <c r="E7" s="11">
        <f>COUNTIF(Resp5[5.199],B7)</f>
        <v>11</v>
      </c>
      <c r="F7" s="13">
        <f t="shared" ref="F7:F11" si="0">ROUND($E7/E$12*100,2)</f>
        <v>0.78</v>
      </c>
      <c r="G7" s="13">
        <f>ROUND($E7/SUM($E$7:$E$11)*100,3)</f>
        <v>50</v>
      </c>
      <c r="H7">
        <f>E7*10</f>
        <v>110</v>
      </c>
      <c r="J7" s="13">
        <f>E11/SUM(E7:E11)</f>
        <v>0</v>
      </c>
      <c r="M7" s="16"/>
    </row>
    <row r="8" spans="1:13" ht="15" x14ac:dyDescent="0.25">
      <c r="B8" s="8" t="s">
        <v>239</v>
      </c>
      <c r="C8" s="11">
        <f>COUNTIFS(Resp5[Vínculo],"tecnico",Resp5[5.199],B8)</f>
        <v>2</v>
      </c>
      <c r="D8" s="11">
        <f>COUNTIFS(Resp5[Vínculo],"docente",Resp5[5.199],B8)</f>
        <v>3</v>
      </c>
      <c r="E8" s="11">
        <f>COUNTIF(Resp5[5.199],B8)</f>
        <v>5</v>
      </c>
      <c r="F8" s="13">
        <f t="shared" si="0"/>
        <v>0.36</v>
      </c>
      <c r="G8" s="13">
        <f>ROUND($E8/SUM($E$7:$E$11)*100,3)</f>
        <v>22.727</v>
      </c>
      <c r="H8">
        <f>E8*8</f>
        <v>40</v>
      </c>
      <c r="J8" s="13">
        <f>(E11+E10)/SUM(E7:E11)</f>
        <v>9.0909090909090912E-2</v>
      </c>
      <c r="M8" s="16"/>
    </row>
    <row r="9" spans="1:13" ht="15" x14ac:dyDescent="0.25">
      <c r="B9" s="8" t="s">
        <v>237</v>
      </c>
      <c r="C9" s="11">
        <f>COUNTIFS(Resp5[Vínculo],"tecnico",Resp5[5.199],B9)</f>
        <v>1</v>
      </c>
      <c r="D9" s="11">
        <f>COUNTIFS(Resp5[Vínculo],"docente",Resp5[5.199],B9)</f>
        <v>3</v>
      </c>
      <c r="E9" s="11">
        <f>COUNTIF(Resp5[5.199],B9)</f>
        <v>4</v>
      </c>
      <c r="F9" s="13">
        <f t="shared" si="0"/>
        <v>0.28000000000000003</v>
      </c>
      <c r="G9" s="13">
        <f>ROUND($E9/SUM($E$7:$E$11)*100,3)</f>
        <v>18.181999999999999</v>
      </c>
      <c r="H9">
        <f>E9*6</f>
        <v>24</v>
      </c>
      <c r="J9" s="13">
        <f>(E11+E10+E9)/SUM(E7:E11)</f>
        <v>0.27272727272727271</v>
      </c>
      <c r="M9" s="16"/>
    </row>
    <row r="10" spans="1:13" ht="15" x14ac:dyDescent="0.25">
      <c r="B10" s="8" t="s">
        <v>242</v>
      </c>
      <c r="C10" s="11">
        <f>COUNTIFS(Resp5[Vínculo],"tecnico",Resp5[5.199],B10)</f>
        <v>0</v>
      </c>
      <c r="D10" s="11">
        <f>COUNTIFS(Resp5[Vínculo],"docente",Resp5[5.199],B10)</f>
        <v>2</v>
      </c>
      <c r="E10" s="11">
        <f>COUNTIF(Resp5[5.199],B10)</f>
        <v>2</v>
      </c>
      <c r="F10" s="13">
        <f t="shared" si="0"/>
        <v>0.14000000000000001</v>
      </c>
      <c r="G10" s="13">
        <f>ROUND($E10/SUM($E$7:$E$11)*100,3)</f>
        <v>9.0909999999999993</v>
      </c>
      <c r="H10">
        <f>E10*4</f>
        <v>8</v>
      </c>
      <c r="J10" s="13">
        <f>(E11+E10+E9+E8)/SUM(E7:E11)</f>
        <v>0.5</v>
      </c>
      <c r="M10" s="16"/>
    </row>
    <row r="11" spans="1:13" ht="15" x14ac:dyDescent="0.25">
      <c r="B11" s="15" t="s">
        <v>241</v>
      </c>
      <c r="C11" s="11">
        <f>COUNTIFS(Resp5[Vínculo],"tecnico",Resp5[5.199],B11)</f>
        <v>0</v>
      </c>
      <c r="D11" s="11">
        <f>COUNTIFS(Resp5[Vínculo],"docente",Resp5[5.199],B11)</f>
        <v>0</v>
      </c>
      <c r="E11" s="11">
        <f>COUNTIF(Resp5[5.199],B11)</f>
        <v>0</v>
      </c>
      <c r="F11" s="39">
        <f t="shared" si="0"/>
        <v>0</v>
      </c>
      <c r="G11" s="13">
        <f>ROUND($E11/SUM($E$7:$E$11)*100,3)</f>
        <v>0</v>
      </c>
      <c r="H11">
        <f>E11*2</f>
        <v>0</v>
      </c>
      <c r="J11" s="13">
        <f>(E11+E10+E9+E8+E7)/SUM(E7:E11)</f>
        <v>1</v>
      </c>
      <c r="M11" s="16"/>
    </row>
    <row r="12" spans="1:13" ht="15" x14ac:dyDescent="0.25">
      <c r="B12" s="8" t="s">
        <v>307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3">
        <f>ROUND($E12/E$12*100,2)</f>
        <v>100</v>
      </c>
      <c r="G12" s="14">
        <f>SUM(G7:G11)</f>
        <v>100</v>
      </c>
      <c r="H12">
        <f>SUM(H7:H11)/SUM(E7:E11)</f>
        <v>8.2727272727272734</v>
      </c>
      <c r="I12">
        <f>IF(MAX(E$7:E$11)=E7,10,IF(MAX(E$7:E$11)=E8,8,IF(MAX(E$7:E$11)=E9,6,IF(MAX(E$7:E$11)=E10,4,2))))</f>
        <v>10</v>
      </c>
      <c r="J12" s="13">
        <f>IF(J7&gt;=0.5,2,IF(J8&gt;=0.5,4,IF(J9&gt;=0.5,6,IF(J10&gt;=0.5,8,10))))</f>
        <v>8</v>
      </c>
      <c r="K12" s="13"/>
      <c r="M12" s="16"/>
    </row>
    <row r="13" spans="1:13" x14ac:dyDescent="0.2">
      <c r="J13" s="29"/>
      <c r="M13" s="16"/>
    </row>
    <row r="15" spans="1:13" ht="15" x14ac:dyDescent="0.25">
      <c r="B15" s="20" t="s">
        <v>308</v>
      </c>
      <c r="C15" s="20" t="s">
        <v>309</v>
      </c>
      <c r="D15" s="9" t="s">
        <v>300</v>
      </c>
      <c r="E15" s="10" t="s">
        <v>303</v>
      </c>
    </row>
    <row r="16" spans="1:13" ht="15" x14ac:dyDescent="0.25">
      <c r="B16" s="33" t="s">
        <v>310</v>
      </c>
      <c r="C16" s="33" t="s">
        <v>22</v>
      </c>
      <c r="D16" s="17">
        <f>SUM(C10:C11)</f>
        <v>0</v>
      </c>
      <c r="E16" s="18">
        <f>ROUND(D16/SUM(D$16:D$18)*100,3)</f>
        <v>0</v>
      </c>
    </row>
    <row r="17" spans="2:5" ht="15" x14ac:dyDescent="0.25">
      <c r="B17" s="35" t="s">
        <v>313</v>
      </c>
      <c r="C17" s="35" t="s">
        <v>24</v>
      </c>
      <c r="D17" s="17">
        <f>C9</f>
        <v>1</v>
      </c>
      <c r="E17" s="18">
        <f>ROUND(D17/SUM(D$16:D$18)*100,3)</f>
        <v>10</v>
      </c>
    </row>
    <row r="18" spans="2:5" ht="15" x14ac:dyDescent="0.25">
      <c r="B18" s="38" t="s">
        <v>314</v>
      </c>
      <c r="C18" s="38" t="s">
        <v>26</v>
      </c>
      <c r="D18" s="25">
        <f>SUM(C7:C8)</f>
        <v>9</v>
      </c>
      <c r="E18" s="26">
        <f>ROUND(D18/SUM(D$16:D$18)*100,3)</f>
        <v>90</v>
      </c>
    </row>
    <row r="19" spans="2:5" ht="15" x14ac:dyDescent="0.25">
      <c r="B19" s="8"/>
      <c r="C19" s="8"/>
      <c r="D19" s="8"/>
      <c r="E19" s="19"/>
    </row>
    <row r="20" spans="2:5" ht="15" x14ac:dyDescent="0.25">
      <c r="B20" s="8"/>
      <c r="C20" s="8"/>
      <c r="D20" s="8"/>
      <c r="E20" s="19"/>
    </row>
    <row r="21" spans="2:5" ht="15" x14ac:dyDescent="0.25">
      <c r="B21" s="20" t="s">
        <v>308</v>
      </c>
      <c r="C21" s="20" t="s">
        <v>309</v>
      </c>
      <c r="D21" s="9" t="s">
        <v>301</v>
      </c>
      <c r="E21" s="10" t="s">
        <v>303</v>
      </c>
    </row>
    <row r="22" spans="2:5" ht="15" x14ac:dyDescent="0.25">
      <c r="B22" s="33" t="s">
        <v>310</v>
      </c>
      <c r="C22" s="33" t="s">
        <v>22</v>
      </c>
      <c r="D22" s="17">
        <f>SUM(D10:D11)</f>
        <v>2</v>
      </c>
      <c r="E22" s="18">
        <f>ROUND(D22/SUM(D$22:D$24)*100,3)</f>
        <v>16.667000000000002</v>
      </c>
    </row>
    <row r="23" spans="2:5" ht="15" x14ac:dyDescent="0.25">
      <c r="B23" s="35" t="s">
        <v>313</v>
      </c>
      <c r="C23" s="35" t="s">
        <v>24</v>
      </c>
      <c r="D23" s="17">
        <f>D9</f>
        <v>3</v>
      </c>
      <c r="E23" s="18">
        <f>ROUND(D23/SUM(D$22:D$24)*100,3)</f>
        <v>25</v>
      </c>
    </row>
    <row r="24" spans="2:5" ht="15" x14ac:dyDescent="0.25">
      <c r="B24" s="38" t="s">
        <v>314</v>
      </c>
      <c r="C24" s="38" t="s">
        <v>26</v>
      </c>
      <c r="D24" s="25">
        <f>SUM(D7:D8)</f>
        <v>7</v>
      </c>
      <c r="E24" s="26">
        <f>ROUND(D24/SUM(D$22:D$24)*100,3)</f>
        <v>58.332999999999998</v>
      </c>
    </row>
    <row r="27" spans="2:5" x14ac:dyDescent="0.2">
      <c r="B27" s="22" t="s">
        <v>29</v>
      </c>
      <c r="C27" s="23" t="s">
        <v>279</v>
      </c>
      <c r="D27" s="24" t="s">
        <v>280</v>
      </c>
      <c r="E27" s="24" t="s">
        <v>281</v>
      </c>
    </row>
    <row r="28" spans="2:5" x14ac:dyDescent="0.2">
      <c r="B28" t="s">
        <v>315</v>
      </c>
      <c r="C28" s="30">
        <f>I12</f>
        <v>10</v>
      </c>
      <c r="D28" s="30">
        <f>H12</f>
        <v>8.2727272727272734</v>
      </c>
      <c r="E28" s="30">
        <f>J12</f>
        <v>8</v>
      </c>
    </row>
    <row r="85" spans="3:3" x14ac:dyDescent="0.2">
      <c r="C85" s="30" t="e">
        <f>#REF!</f>
        <v>#REF!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OrientaçõesInformações</vt:lpstr>
      <vt:lpstr>Eixo 5</vt:lpstr>
      <vt:lpstr>TituloQuestões</vt:lpstr>
      <vt:lpstr>Q2.06</vt:lpstr>
      <vt:lpstr>Q5.195PP-CEM</vt:lpstr>
      <vt:lpstr>Q5.196</vt:lpstr>
      <vt:lpstr>Q5.197</vt:lpstr>
      <vt:lpstr>Q5.198</vt:lpstr>
      <vt:lpstr>Q5.199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2022-01-14T17:19:11Z</dcterms:modified>
  <cp:category/>
  <cp:contentStatus/>
</cp:coreProperties>
</file>