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7" documentId="11_A8DAC22A08B91C4F481800C31590AF8FBE25047B" xr6:coauthVersionLast="47" xr6:coauthVersionMax="47" xr10:uidLastSave="{3A3504BB-2C9B-4168-BDD2-0296155F959E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<sst xmlns="http://schemas.openxmlformats.org/spreadsheetml/2006/main" count="712" uniqueCount="180">
  <si>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</si>
  <si>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</si>
  <si>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</si>
  <si>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</si>
  <si>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</si>
  <si>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</si>
  <si>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</si>
  <si>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</si>
  <si>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</si>
  <si>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OUV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</si>
  <si>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</si>
  <si>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</si>
  <si>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</si>
  <si>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Excelente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</si>
  <si>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</si>
  <si>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</si>
  <si>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</si>
  <si>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</si>
  <si>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</si>
  <si>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</si>
  <si>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</si>
  <si>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</si>
  <si>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</si>
  <si>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</si>
  <si>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Bom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</si>
  <si>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</si>
  <si>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</si>
  <si>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</si>
  <si>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</si>
  <si>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</si>
  <si>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</si>
  <si>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</si>
  <si>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</si>
  <si>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</si>
  <si>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</si>
  <si>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</si>
  <si>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</si>
  <si>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</si>
  <si>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</si>
  <si>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</si>
  <si>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</si>
  <si>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</si>
  <si>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</si>
  <si>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</si>
  <si>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</si>
  <si>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</si>
  <si>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</si>
  <si>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</si>
  <si>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</si>
  <si>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</si>
  <si>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</si>
  <si>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</si>
  <si>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</si>
  <si>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</si>
  <si>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</si>
  <si>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</si>
  <si>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</si>
  <si>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</si>
  <si>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</si>
  <si>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</si>
  <si>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</si>
  <si>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</si>
  <si>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</si>
  <si>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</si>
  <si>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</si>
  <si>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</si>
  <si>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</si>
  <si>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</si>
  <si>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</si>
  <si>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</si>
  <si>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</si>
  <si>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</si>
  <si>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</si>
  <si>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</si>
  <si>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</si>
  <si>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</si>
  <si>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</si>
  <si>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</si>
  <si>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</si>
  <si>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</si>
  <si>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</si>
  <si>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</si>
  <si>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Regular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</si>
  <si>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</si>
  <si>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</si>
  <si>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</si>
  <si>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</si>
  <si>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</si>
  <si>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</si>
  <si>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</si>
  <si>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</si>
  <si>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</si>
  <si>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</si>
  <si>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</si>
  <si>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</si>
  <si>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</si>
  <si>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</si>
  <si>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</si>
  <si>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</si>
  <si>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</si>
  <si>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</si>
  <si>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</si>
  <si>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</si>
  <si>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</si>
  <si>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</si>
  <si>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</si>
  <si>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</si>
  <si>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</si>
  <si>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</si>
  <si>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</si>
  <si>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</si>
  <si>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</si>
  <si>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</si>
  <si>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</si>
  <si>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</si>
  <si>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</si>
  <si>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</si>
  <si>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</si>
  <si>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</si>
  <si>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</si>
  <si>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</si>
  <si>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</si>
  <si>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</si>
  <si>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</si>
  <si>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</si>
  <si>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</si>
  <si>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</si>
  <si>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</si>
  <si>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</si>
  <si>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</si>
  <si>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</si>
  <si>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</si>
  <si>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</si>
  <si>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</si>
  <si>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</si>
  <si>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</si>
  <si>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</si>
  <si>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</si>
  <si>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</si>
  <si>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</si>
  <si>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</si>
  <si>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</si>
  <si>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</si>
  <si>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</si>
  <si>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</si>
  <si>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</si>
  <si>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</si>
  <si>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</si>
  <si>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</si>
  <si>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</si>
  <si>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</si>
  <si>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</si>
  <si>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</si>
  <si>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</si>
  <si>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</si>
  <si>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</si>
  <si>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</si>
  <si>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</si>
  <si>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</si>
  <si>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Não sei responder</t>
  </si>
  <si>
    <t>Péssimo</t>
  </si>
  <si>
    <t>Total</t>
  </si>
  <si>
    <t>Respostas</t>
  </si>
  <si>
    <t>Técnico</t>
  </si>
  <si>
    <t>Docente</t>
  </si>
  <si>
    <t>N/R</t>
  </si>
  <si>
    <t>Legenda</t>
  </si>
  <si>
    <t>Não responderam</t>
  </si>
  <si>
    <t>Na minha unidade, participamos efetivamente da elaboração do planejamento interno, mas não utilizamos os resultados da Autoavaliação</t>
  </si>
  <si>
    <t>Na minha unidade, não temos conhecimento sobre os processos de Autoavaliação e as decisões para o planejamento interno são tomadas de forma autônoma</t>
  </si>
  <si>
    <t>Legendas</t>
  </si>
  <si>
    <t>Ações</t>
  </si>
  <si>
    <t>Não se aplica nesse caso</t>
  </si>
  <si>
    <t>Lgendas</t>
  </si>
  <si>
    <t>Respopstas</t>
  </si>
  <si>
    <t>Sem respostas</t>
  </si>
  <si>
    <t>Não observo na minha unidade a atenção e a inserção dos resultados da Autoavaliação em ações de melhoria</t>
  </si>
  <si>
    <t>Não</t>
  </si>
  <si>
    <t>Ruim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</si>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</sst>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140288"/>
        <c:axId val="50141824"/>
      </c:barChart>
      <c:catAx>
        <c:axId val="501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1824"/>
        <c:crosses val="autoZero"/>
        <c:auto val="1"/>
        <c:lblAlgn val="ctr"/>
        <c:lblOffset val="100"/>
        <c:noMultiLvlLbl val="0"/>
      </c:catAx>
      <c:valAx>
        <c:axId val="501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964992"/>
        <c:axId val="56966528"/>
      </c:barChart>
      <c:catAx>
        <c:axId val="569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6528"/>
        <c:crosses val="autoZero"/>
        <c:auto val="1"/>
        <c:lblAlgn val="ctr"/>
        <c:lblOffset val="100"/>
        <c:noMultiLvlLbl val="0"/>
      </c:catAx>
      <c:valAx>
        <c:axId val="569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013312"/>
        <c:axId val="52019200"/>
      </c:barChart>
      <c:catAx>
        <c:axId val="520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9200"/>
        <c:crosses val="autoZero"/>
        <c:auto val="1"/>
        <c:lblAlgn val="ctr"/>
        <c:lblOffset val="100"/>
        <c:noMultiLvlLbl val="0"/>
      </c:catAx>
      <c:valAx>
        <c:axId val="520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029632"/>
        <c:axId val="89039616"/>
      </c:barChart>
      <c:catAx>
        <c:axId val="890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9616"/>
        <c:crosses val="autoZero"/>
        <c:auto val="1"/>
        <c:lblAlgn val="ctr"/>
        <c:lblOffset val="100"/>
        <c:noMultiLvlLbl val="0"/>
      </c:catAx>
      <c:valAx>
        <c:axId val="890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2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136128"/>
        <c:axId val="89166592"/>
      </c:barChart>
      <c:catAx>
        <c:axId val="891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66592"/>
        <c:crosses val="autoZero"/>
        <c:auto val="1"/>
        <c:lblAlgn val="ctr"/>
        <c:lblOffset val="100"/>
        <c:noMultiLvlLbl val="0"/>
      </c:catAx>
      <c:valAx>
        <c:axId val="8916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3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32896"/>
        <c:axId val="96838784"/>
      </c:barChart>
      <c:catAx>
        <c:axId val="968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8784"/>
        <c:crosses val="autoZero"/>
        <c:auto val="1"/>
        <c:lblAlgn val="ctr"/>
        <c:lblOffset val="100"/>
        <c:noMultiLvlLbl val="0"/>
      </c:catAx>
      <c:valAx>
        <c:axId val="968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51168"/>
        <c:axId val="98832768"/>
      </c:barChart>
      <c:catAx>
        <c:axId val="993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2768"/>
        <c:crosses val="autoZero"/>
        <c:auto val="1"/>
        <c:lblAlgn val="ctr"/>
        <c:lblOffset val="100"/>
        <c:noMultiLvlLbl val="0"/>
      </c:catAx>
      <c:valAx>
        <c:axId val="988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5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005184"/>
        <c:axId val="99006720"/>
      </c:barChart>
      <c:catAx>
        <c:axId val="99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06720"/>
        <c:crosses val="autoZero"/>
        <c:auto val="1"/>
        <c:lblAlgn val="ctr"/>
        <c:lblOffset val="100"/>
        <c:noMultiLvlLbl val="0"/>
      </c:catAx>
      <c:valAx>
        <c:axId val="9900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0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513856"/>
        <c:axId val="99515392"/>
      </c:barChart>
      <c:catAx>
        <c:axId val="995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15392"/>
        <c:crosses val="autoZero"/>
        <c:auto val="1"/>
        <c:lblAlgn val="ctr"/>
        <c:lblOffset val="100"/>
        <c:noMultiLvlLbl val="0"/>
      </c:catAx>
      <c:valAx>
        <c:axId val="9951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1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681024"/>
        <c:axId val="99682560"/>
      </c:barChart>
      <c:catAx>
        <c:axId val="996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82560"/>
        <c:crosses val="autoZero"/>
        <c:auto val="1"/>
        <c:lblAlgn val="ctr"/>
        <c:lblOffset val="100"/>
        <c:noMultiLvlLbl val="0"/>
      </c:catAx>
      <c:valAx>
        <c:axId val="996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8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267136"/>
        <c:axId val="98268672"/>
      </c:barChart>
      <c:catAx>
        <c:axId val="982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8672"/>
        <c:crosses val="autoZero"/>
        <c:auto val="1"/>
        <c:lblAlgn val="ctr"/>
        <c:lblOffset val="100"/>
        <c:noMultiLvlLbl val="0"/>
      </c:catAx>
      <c:valAx>
        <c:axId val="982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133312"/>
        <c:axId val="101139200"/>
      </c:barChart>
      <c:catAx>
        <c:axId val="1011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39200"/>
        <c:crosses val="autoZero"/>
        <c:auto val="1"/>
        <c:lblAlgn val="ctr"/>
        <c:lblOffset val="100"/>
        <c:noMultiLvlLbl val="0"/>
      </c:catAx>
      <c:valAx>
        <c:axId val="1011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3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488896"/>
        <c:axId val="101498880"/>
      </c:barChart>
      <c:catAx>
        <c:axId val="1014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98880"/>
        <c:crosses val="autoZero"/>
        <c:auto val="1"/>
        <c:lblAlgn val="ctr"/>
        <c:lblOffset val="100"/>
        <c:noMultiLvlLbl val="0"/>
      </c:catAx>
      <c:valAx>
        <c:axId val="1014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8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692928"/>
        <c:axId val="101694464"/>
      </c:barChart>
      <c:catAx>
        <c:axId val="1016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94464"/>
        <c:crosses val="autoZero"/>
        <c:auto val="1"/>
        <c:lblAlgn val="ctr"/>
        <c:lblOffset val="100"/>
        <c:noMultiLvlLbl val="0"/>
      </c:catAx>
      <c:valAx>
        <c:axId val="10169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243200"/>
        <c:axId val="106244736"/>
      </c:barChart>
      <c:catAx>
        <c:axId val="1062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44736"/>
        <c:crosses val="autoZero"/>
        <c:auto val="1"/>
        <c:lblAlgn val="ctr"/>
        <c:lblOffset val="100"/>
        <c:noMultiLvlLbl val="0"/>
      </c:catAx>
      <c:valAx>
        <c:axId val="1062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26752"/>
        <c:axId val="106428288"/>
      </c:barChart>
      <c:catAx>
        <c:axId val="1064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8288"/>
        <c:crosses val="autoZero"/>
        <c:auto val="1"/>
        <c:lblAlgn val="ctr"/>
        <c:lblOffset val="100"/>
        <c:noMultiLvlLbl val="0"/>
      </c:catAx>
      <c:valAx>
        <c:axId val="1064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818432"/>
        <c:axId val="108819968"/>
      </c:barChart>
      <c:catAx>
        <c:axId val="1088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9968"/>
        <c:crosses val="autoZero"/>
        <c:auto val="1"/>
        <c:lblAlgn val="ctr"/>
        <c:lblOffset val="100"/>
        <c:noMultiLvlLbl val="0"/>
      </c:catAx>
      <c:valAx>
        <c:axId val="10881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82464"/>
        <c:axId val="110400640"/>
      </c:barChart>
      <c:catAx>
        <c:axId val="1103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00640"/>
        <c:crosses val="autoZero"/>
        <c:auto val="1"/>
        <c:lblAlgn val="ctr"/>
        <c:lblOffset val="100"/>
        <c:noMultiLvlLbl val="0"/>
      </c:catAx>
      <c:valAx>
        <c:axId val="1104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" totalsRowShown="0" headerRowDxfId="31" dataDxfId="30">
  <autoFilter ref="A1:H3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" totalsRowShown="0" headerRowDxfId="21" dataDxfId="20">
  <autoFilter ref="A1:L3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zoomScaleNormal="100" workbookViewId="0">
      <selection activeCell="B15" sqref="B15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13</v>
      </c>
      <c r="H2" s="78" t="s">
        <v>13</v>
      </c>
    </row>
    <row r="3" spans="1:10">
      <c r="A3" s="112" t="s">
        <v>8</v>
      </c>
      <c r="B3" s="112" t="s">
        <v>9</v>
      </c>
      <c r="C3" s="78" t="s">
        <v>10</v>
      </c>
      <c r="D3" s="78" t="s">
        <v>11</v>
      </c>
      <c r="E3" s="78" t="s">
        <v>12</v>
      </c>
      <c r="F3" s="78" t="s">
        <v>13</v>
      </c>
      <c r="G3" s="78" t="s">
        <v>13</v>
      </c>
      <c r="H3" s="78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zoomScale="90" zoomScaleNormal="90" workbookViewId="0">
      <selection activeCell="A2" sqref="A2:XFD1466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14</v>
      </c>
      <c r="D1" s="75" t="s">
        <v>15</v>
      </c>
      <c r="E1" s="75" t="s">
        <v>16</v>
      </c>
      <c r="F1" s="75" t="s">
        <v>17</v>
      </c>
      <c r="G1" s="75" t="s">
        <v>18</v>
      </c>
      <c r="H1" s="75" t="s">
        <v>19</v>
      </c>
      <c r="I1" s="75" t="s">
        <v>20</v>
      </c>
      <c r="J1" s="75" t="s">
        <v>21</v>
      </c>
      <c r="K1" s="75" t="s">
        <v>22</v>
      </c>
      <c r="L1" s="75" t="s">
        <v>23</v>
      </c>
    </row>
    <row r="2" spans="1:12">
      <c r="A2" s="78" t="s">
        <v>8</v>
      </c>
      <c r="B2" s="78" t="s">
        <v>9</v>
      </c>
      <c r="C2" s="78" t="s">
        <v>13</v>
      </c>
      <c r="D2" s="78" t="s">
        <v>13</v>
      </c>
      <c r="E2" s="78" t="s">
        <v>13</v>
      </c>
      <c r="F2" s="78" t="s">
        <v>24</v>
      </c>
      <c r="G2" s="78" t="s">
        <v>13</v>
      </c>
      <c r="H2" s="78" t="s">
        <v>13</v>
      </c>
      <c r="I2" s="78" t="s">
        <v>13</v>
      </c>
      <c r="J2" s="78" t="s">
        <v>13</v>
      </c>
      <c r="K2" s="78" t="s">
        <v>13</v>
      </c>
      <c r="L2" s="78" t="s">
        <v>13</v>
      </c>
    </row>
    <row r="3" spans="1:12">
      <c r="A3" s="78" t="s">
        <v>8</v>
      </c>
      <c r="B3" s="78" t="s">
        <v>9</v>
      </c>
      <c r="C3" s="78" t="s">
        <v>13</v>
      </c>
      <c r="D3" s="78" t="s">
        <v>13</v>
      </c>
      <c r="E3" s="78" t="s">
        <v>13</v>
      </c>
      <c r="F3" s="78" t="s">
        <v>13</v>
      </c>
      <c r="G3" s="78" t="s">
        <v>13</v>
      </c>
      <c r="H3" s="78" t="s">
        <v>13</v>
      </c>
      <c r="I3" s="78" t="s">
        <v>13</v>
      </c>
      <c r="J3" s="78" t="s">
        <v>13</v>
      </c>
      <c r="K3" s="78" t="s">
        <v>13</v>
      </c>
      <c r="L3" s="78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E25" zoomScaleNormal="100" workbookViewId="0">
      <selection activeCell="A35" sqref="A35:XFD62"/>
    </sheetView>
  </sheetViews>
  <sheetFormatPr defaultRowHeight="15"/>
  <cols>
    <col min="1" max="1" width="18.85546875" style="53" customWidth="1"/>
    <col min="2" max="2" width="32" style="53" customWidth="1"/>
    <col min="3" max="3" width="27.710937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25</v>
      </c>
    </row>
    <row r="2" spans="1:15" ht="15.75">
      <c r="A2" s="52"/>
    </row>
    <row r="3" spans="1:15">
      <c r="A3" s="53" t="s">
        <v>26</v>
      </c>
    </row>
    <row r="5" spans="1:15">
      <c r="A5" s="113" t="s">
        <v>27</v>
      </c>
      <c r="B5" s="114" t="s">
        <v>28</v>
      </c>
      <c r="C5" s="114"/>
      <c r="D5" s="114"/>
      <c r="E5" s="114"/>
      <c r="F5" s="114"/>
      <c r="G5" s="115"/>
    </row>
    <row r="6" spans="1:15">
      <c r="A6" s="116" t="s">
        <v>29</v>
      </c>
      <c r="B6" s="53" t="s">
        <v>30</v>
      </c>
      <c r="G6" s="117"/>
    </row>
    <row r="7" spans="1:15">
      <c r="A7" s="116" t="s">
        <v>31</v>
      </c>
      <c r="B7" s="53" t="s">
        <v>32</v>
      </c>
      <c r="G7" s="117"/>
    </row>
    <row r="8" spans="1:15">
      <c r="A8" s="116" t="s">
        <v>33</v>
      </c>
      <c r="B8" s="53" t="s">
        <v>34</v>
      </c>
      <c r="G8" s="117"/>
    </row>
    <row r="9" spans="1:15">
      <c r="A9" s="116" t="s">
        <v>35</v>
      </c>
      <c r="B9" s="53" t="s">
        <v>36</v>
      </c>
      <c r="G9" s="117"/>
    </row>
    <row r="10" spans="1:15">
      <c r="A10" s="118" t="s">
        <v>37</v>
      </c>
      <c r="B10" s="119" t="s">
        <v>38</v>
      </c>
      <c r="C10" s="119"/>
      <c r="D10" s="119"/>
      <c r="E10" s="119"/>
      <c r="F10" s="119"/>
      <c r="G10" s="120"/>
    </row>
    <row r="12" spans="1:15" ht="15.75">
      <c r="A12" s="122" t="s">
        <v>39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40</v>
      </c>
      <c r="B13" s="54" t="s">
        <v>41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42</v>
      </c>
      <c r="B14" s="54" t="s">
        <v>43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44</v>
      </c>
      <c r="B15" s="54" t="s">
        <v>45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46</v>
      </c>
      <c r="B16" s="54" t="s">
        <v>47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48</v>
      </c>
      <c r="B17" s="54" t="s">
        <v>49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50</v>
      </c>
    </row>
    <row r="21" spans="1:15">
      <c r="A21" s="53" t="s">
        <v>51</v>
      </c>
    </row>
    <row r="24" spans="1:15">
      <c r="A24" s="81" t="s">
        <v>52</v>
      </c>
    </row>
    <row r="25" spans="1:15" s="80" customFormat="1">
      <c r="A25" s="83"/>
      <c r="B25" s="83" t="s">
        <v>29</v>
      </c>
      <c r="C25" s="83" t="s">
        <v>31</v>
      </c>
      <c r="D25" s="83" t="s">
        <v>53</v>
      </c>
      <c r="E25" s="84" t="s">
        <v>54</v>
      </c>
      <c r="F25" s="84" t="s">
        <v>55</v>
      </c>
    </row>
    <row r="26" spans="1:15">
      <c r="A26" s="123" t="s">
        <v>8</v>
      </c>
      <c r="B26" s="85">
        <f>COUNTIF(Resp2[Vínculo],A26)</f>
        <v>2</v>
      </c>
      <c r="C26" s="85">
        <f>COUNTIF(Resp3[Vínculo],A26)</f>
        <v>2</v>
      </c>
      <c r="D26" s="85">
        <v>3</v>
      </c>
      <c r="E26" s="86">
        <f>ROUND(B26/$D26*100,3)</f>
        <v>66.667000000000002</v>
      </c>
      <c r="F26" s="86">
        <f>ROUND(C26/$D26*100,3)</f>
        <v>66.667000000000002</v>
      </c>
    </row>
    <row r="27" spans="1:15">
      <c r="A27" s="87" t="s">
        <v>56</v>
      </c>
      <c r="B27" s="85">
        <f>SUM(B26:B26)</f>
        <v>2</v>
      </c>
      <c r="C27" s="85">
        <f>SUM(C26:C26)</f>
        <v>2</v>
      </c>
      <c r="D27" s="85">
        <f>SUM(D26:D26)</f>
        <v>3</v>
      </c>
      <c r="E27" s="86">
        <f t="shared" ref="E27" si="0">ROUND(B27/$D27*100,3)</f>
        <v>66.667000000000002</v>
      </c>
      <c r="F27" s="86">
        <f t="shared" ref="F27" si="1">ROUND(C27/$D27*100,3)</f>
        <v>66.667000000000002</v>
      </c>
    </row>
    <row r="28" spans="1:15">
      <c r="A28" s="88">
        <v>1</v>
      </c>
      <c r="B28" s="131" t="s">
        <v>57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58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59</v>
      </c>
    </row>
    <row r="33" spans="1:11">
      <c r="A33" s="53" t="s">
        <v>60</v>
      </c>
    </row>
    <row r="35" spans="1:11" ht="15.75">
      <c r="A35" s="57" t="s">
        <v>61</v>
      </c>
      <c r="B35" s="57" t="s">
        <v>62</v>
      </c>
      <c r="C35" s="57" t="s">
        <v>63</v>
      </c>
      <c r="D35" s="57" t="s">
        <v>64</v>
      </c>
      <c r="E35" s="57" t="s">
        <v>65</v>
      </c>
      <c r="G35" s="56" t="s">
        <v>41</v>
      </c>
      <c r="H35" s="55"/>
      <c r="K35" s="55"/>
    </row>
    <row r="36" spans="1:11" ht="15.75">
      <c r="A36" s="63" t="s">
        <v>66</v>
      </c>
      <c r="B36" s="133" t="s">
        <v>67</v>
      </c>
      <c r="C36" s="134" t="s">
        <v>68</v>
      </c>
      <c r="D36" s="63"/>
      <c r="E36" s="63"/>
      <c r="G36" s="58" t="s">
        <v>69</v>
      </c>
      <c r="H36" s="58" t="s">
        <v>70</v>
      </c>
      <c r="K36" s="55"/>
    </row>
    <row r="37" spans="1:11" ht="15.75">
      <c r="A37" s="63" t="s">
        <v>71</v>
      </c>
      <c r="B37" s="135" t="s">
        <v>72</v>
      </c>
      <c r="C37" s="135" t="s">
        <v>73</v>
      </c>
      <c r="D37" s="63" t="s">
        <v>74</v>
      </c>
      <c r="E37" s="63" t="s">
        <v>75</v>
      </c>
      <c r="G37" s="59" t="s">
        <v>76</v>
      </c>
      <c r="H37" s="136" t="s">
        <v>77</v>
      </c>
      <c r="K37" s="55"/>
    </row>
    <row r="38" spans="1:11" ht="15.75">
      <c r="A38" s="63" t="s">
        <v>78</v>
      </c>
      <c r="B38" s="137" t="s">
        <v>79</v>
      </c>
      <c r="C38" s="135" t="s">
        <v>80</v>
      </c>
      <c r="D38" s="63" t="s">
        <v>75</v>
      </c>
      <c r="E38" s="63"/>
      <c r="G38" s="60" t="s">
        <v>81</v>
      </c>
      <c r="H38" s="138" t="s">
        <v>82</v>
      </c>
      <c r="K38" s="55"/>
    </row>
    <row r="39" spans="1:11" ht="15.75">
      <c r="A39" s="63" t="s">
        <v>83</v>
      </c>
      <c r="B39" s="135" t="s">
        <v>84</v>
      </c>
      <c r="C39" s="135" t="s">
        <v>85</v>
      </c>
      <c r="D39" s="63" t="s">
        <v>86</v>
      </c>
      <c r="E39" s="63" t="s">
        <v>74</v>
      </c>
      <c r="G39" s="62" t="s">
        <v>87</v>
      </c>
      <c r="H39" s="139" t="s">
        <v>88</v>
      </c>
      <c r="K39" s="55"/>
    </row>
    <row r="40" spans="1:11" ht="15.75">
      <c r="A40" s="63" t="s">
        <v>89</v>
      </c>
      <c r="B40" s="137" t="s">
        <v>90</v>
      </c>
      <c r="C40" s="135" t="s">
        <v>91</v>
      </c>
      <c r="D40" s="63"/>
      <c r="E40" s="63"/>
      <c r="G40" s="55"/>
      <c r="H40" s="55"/>
      <c r="K40" s="55"/>
    </row>
    <row r="41" spans="1:11" ht="15.75">
      <c r="A41" s="63" t="s">
        <v>92</v>
      </c>
      <c r="B41" s="63" t="s">
        <v>92</v>
      </c>
      <c r="C41" s="63"/>
      <c r="D41" s="63"/>
      <c r="E41" s="63"/>
      <c r="G41" s="56" t="s">
        <v>93</v>
      </c>
      <c r="H41" s="124" t="s">
        <v>94</v>
      </c>
      <c r="K41" s="55"/>
    </row>
    <row r="42" spans="1:11" ht="15.75">
      <c r="A42" s="63" t="s">
        <v>95</v>
      </c>
      <c r="B42" s="63"/>
      <c r="C42" s="63"/>
      <c r="D42" s="63"/>
      <c r="E42" s="63"/>
      <c r="G42" s="58" t="s">
        <v>69</v>
      </c>
      <c r="H42" s="58" t="s">
        <v>96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76</v>
      </c>
      <c r="H43" s="136" t="s">
        <v>97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81</v>
      </c>
      <c r="H44" s="138" t="s">
        <v>98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87</v>
      </c>
      <c r="H45" s="139" t="s">
        <v>99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100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76</v>
      </c>
      <c r="H48" s="59" t="s">
        <v>101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81</v>
      </c>
      <c r="H49" s="138" t="s">
        <v>102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87</v>
      </c>
      <c r="H50" s="139" t="s">
        <v>103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104</v>
      </c>
      <c r="H52" s="55"/>
      <c r="K52" s="55"/>
    </row>
    <row r="53" spans="1:11" ht="15.75">
      <c r="D53" s="55"/>
      <c r="E53" s="55"/>
      <c r="F53" s="55"/>
      <c r="G53" s="59" t="s">
        <v>76</v>
      </c>
      <c r="H53" s="59" t="s">
        <v>86</v>
      </c>
      <c r="K53" s="55"/>
    </row>
    <row r="54" spans="1:11" ht="15.75">
      <c r="D54" s="55"/>
      <c r="E54" s="55"/>
      <c r="F54" s="55"/>
      <c r="G54" s="60" t="s">
        <v>81</v>
      </c>
      <c r="H54" s="61" t="s">
        <v>75</v>
      </c>
      <c r="K54" s="55"/>
    </row>
    <row r="55" spans="1:11" ht="15.75">
      <c r="D55" s="55"/>
      <c r="E55" s="55"/>
      <c r="F55" s="55"/>
      <c r="G55" s="62" t="s">
        <v>87</v>
      </c>
      <c r="H55" s="62" t="s">
        <v>74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105</v>
      </c>
      <c r="H57" s="55"/>
    </row>
    <row r="58" spans="1:11" ht="15.75">
      <c r="D58" s="55"/>
      <c r="E58" s="55"/>
      <c r="F58" s="55"/>
      <c r="G58" s="59" t="s">
        <v>76</v>
      </c>
      <c r="H58" s="59" t="s">
        <v>74</v>
      </c>
    </row>
    <row r="59" spans="1:11" ht="15.75">
      <c r="D59" s="55"/>
      <c r="E59" s="55"/>
      <c r="F59" s="55"/>
      <c r="G59" s="62" t="s">
        <v>87</v>
      </c>
      <c r="H59" s="62" t="s">
        <v>75</v>
      </c>
    </row>
    <row r="61" spans="1:11" ht="15.75">
      <c r="G61" s="56" t="s">
        <v>106</v>
      </c>
    </row>
    <row r="62" spans="1:11" ht="15.75">
      <c r="G62" s="55" t="s">
        <v>107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108</v>
      </c>
      <c r="B1" s="65" t="s">
        <v>109</v>
      </c>
      <c r="C1" s="65" t="s">
        <v>110</v>
      </c>
      <c r="D1" s="65" t="s">
        <v>111</v>
      </c>
    </row>
    <row r="2" spans="1:5" s="69" customFormat="1" ht="25.5">
      <c r="A2" s="67" t="s">
        <v>2</v>
      </c>
      <c r="B2" s="67" t="s">
        <v>44</v>
      </c>
      <c r="C2" s="68" t="s">
        <v>112</v>
      </c>
      <c r="D2" s="68" t="s">
        <v>113</v>
      </c>
    </row>
    <row r="3" spans="1:5" ht="38.25">
      <c r="A3" s="70" t="s">
        <v>3</v>
      </c>
      <c r="B3" s="70" t="s">
        <v>46</v>
      </c>
      <c r="C3" s="71" t="s">
        <v>114</v>
      </c>
      <c r="D3" s="68" t="s">
        <v>115</v>
      </c>
    </row>
    <row r="4" spans="1:5" s="69" customFormat="1">
      <c r="A4" s="67" t="s">
        <v>4</v>
      </c>
      <c r="B4" s="70" t="s">
        <v>42</v>
      </c>
      <c r="C4" s="68" t="s">
        <v>116</v>
      </c>
      <c r="D4" s="68" t="s">
        <v>117</v>
      </c>
    </row>
    <row r="5" spans="1:5" ht="36" customHeight="1">
      <c r="A5" s="106" t="s">
        <v>118</v>
      </c>
      <c r="B5" s="106" t="s">
        <v>48</v>
      </c>
      <c r="C5" s="107" t="s">
        <v>119</v>
      </c>
      <c r="D5" s="107" t="s">
        <v>120</v>
      </c>
      <c r="E5" s="108"/>
    </row>
    <row r="6" spans="1:5" s="69" customFormat="1" ht="25.5">
      <c r="A6" s="106" t="s">
        <v>121</v>
      </c>
      <c r="B6" s="106" t="s">
        <v>122</v>
      </c>
      <c r="C6" s="107" t="s">
        <v>123</v>
      </c>
      <c r="D6" s="107" t="s">
        <v>124</v>
      </c>
      <c r="E6" s="108"/>
    </row>
    <row r="7" spans="1:5" ht="51">
      <c r="A7" s="70" t="s">
        <v>5</v>
      </c>
      <c r="B7" s="70" t="s">
        <v>40</v>
      </c>
      <c r="C7" s="71" t="s">
        <v>125</v>
      </c>
      <c r="D7" s="68" t="s">
        <v>126</v>
      </c>
    </row>
    <row r="8" spans="1:5" s="69" customFormat="1" ht="38.25">
      <c r="A8" s="67" t="s">
        <v>6</v>
      </c>
      <c r="B8" s="70" t="s">
        <v>40</v>
      </c>
      <c r="C8" s="68" t="s">
        <v>127</v>
      </c>
      <c r="D8" s="68" t="s">
        <v>128</v>
      </c>
    </row>
    <row r="9" spans="1:5" ht="51">
      <c r="A9" s="70" t="s">
        <v>7</v>
      </c>
      <c r="B9" s="70" t="s">
        <v>40</v>
      </c>
      <c r="C9" s="71" t="s">
        <v>129</v>
      </c>
      <c r="D9" s="68" t="s">
        <v>130</v>
      </c>
    </row>
    <row r="10" spans="1:5" s="69" customFormat="1" ht="25.5">
      <c r="A10" s="67" t="s">
        <v>14</v>
      </c>
      <c r="B10" s="70" t="s">
        <v>40</v>
      </c>
      <c r="C10" s="68" t="s">
        <v>131</v>
      </c>
      <c r="D10" s="69" t="s">
        <v>132</v>
      </c>
    </row>
    <row r="11" spans="1:5">
      <c r="A11" s="70" t="s">
        <v>15</v>
      </c>
      <c r="B11" s="70" t="s">
        <v>40</v>
      </c>
      <c r="C11" s="71" t="s">
        <v>133</v>
      </c>
      <c r="D11" s="69" t="s">
        <v>134</v>
      </c>
    </row>
    <row r="12" spans="1:5" s="69" customFormat="1" ht="30">
      <c r="A12" s="67" t="s">
        <v>16</v>
      </c>
      <c r="B12" s="70" t="s">
        <v>40</v>
      </c>
      <c r="C12" s="69" t="s">
        <v>135</v>
      </c>
      <c r="D12" s="69" t="s">
        <v>136</v>
      </c>
    </row>
    <row r="13" spans="1:5" ht="30">
      <c r="A13" s="70" t="s">
        <v>17</v>
      </c>
      <c r="B13" s="70" t="s">
        <v>40</v>
      </c>
      <c r="C13" s="72" t="s">
        <v>137</v>
      </c>
      <c r="D13" s="69" t="s">
        <v>138</v>
      </c>
    </row>
    <row r="14" spans="1:5" s="69" customFormat="1" ht="30">
      <c r="A14" s="67" t="s">
        <v>18</v>
      </c>
      <c r="B14" s="70" t="s">
        <v>40</v>
      </c>
      <c r="C14" s="69" t="s">
        <v>139</v>
      </c>
      <c r="D14" s="69" t="s">
        <v>140</v>
      </c>
    </row>
    <row r="15" spans="1:5" ht="30">
      <c r="A15" s="70" t="s">
        <v>19</v>
      </c>
      <c r="B15" s="70" t="s">
        <v>40</v>
      </c>
      <c r="C15" s="72" t="s">
        <v>141</v>
      </c>
      <c r="D15" s="69" t="s">
        <v>142</v>
      </c>
    </row>
    <row r="16" spans="1:5" s="69" customFormat="1" ht="30">
      <c r="A16" s="67" t="s">
        <v>20</v>
      </c>
      <c r="B16" s="70" t="s">
        <v>40</v>
      </c>
      <c r="C16" s="69" t="s">
        <v>143</v>
      </c>
      <c r="D16" s="69" t="s">
        <v>144</v>
      </c>
    </row>
    <row r="17" spans="1:4" ht="30">
      <c r="A17" s="70" t="s">
        <v>21</v>
      </c>
      <c r="B17" s="70" t="s">
        <v>40</v>
      </c>
      <c r="C17" s="72" t="s">
        <v>145</v>
      </c>
      <c r="D17" s="69" t="s">
        <v>146</v>
      </c>
    </row>
    <row r="18" spans="1:4" s="69" customFormat="1" ht="30">
      <c r="A18" s="67" t="s">
        <v>22</v>
      </c>
      <c r="B18" s="70" t="s">
        <v>40</v>
      </c>
      <c r="C18" s="69" t="s">
        <v>147</v>
      </c>
      <c r="D18" s="69" t="s">
        <v>148</v>
      </c>
    </row>
    <row r="19" spans="1:4" ht="30">
      <c r="A19" s="70" t="s">
        <v>23</v>
      </c>
      <c r="B19" s="70" t="s">
        <v>40</v>
      </c>
      <c r="C19" s="72" t="s">
        <v>149</v>
      </c>
      <c r="D19" s="69" t="s">
        <v>150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151</v>
      </c>
      <c r="B3" s="10" t="str">
        <f>VLOOKUP(A$2, Eixo[], 4, FALSE)</f>
        <v>Eixo 2: Questão 6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1724-SUM(C7:C11)</f>
        <v>1722</v>
      </c>
      <c r="D6" s="9">
        <f>1724-SUM(D7:D11)</f>
        <v>1724</v>
      </c>
      <c r="E6" s="10">
        <f>1724-SUM(E7:E11)</f>
        <v>1722</v>
      </c>
      <c r="F6" s="25">
        <f>ROUND($E6/1724*100,2)</f>
        <v>99.88</v>
      </c>
    </row>
    <row r="7" spans="1:7">
      <c r="B7" s="9" t="s">
        <v>159</v>
      </c>
      <c r="C7" s="10">
        <f>COUNTIFS(Resp2[Vínculo],"tecnico",Resp2[2.06],B7)</f>
        <v>0</v>
      </c>
      <c r="D7" s="10">
        <f>COUNTIFS(Resp2[Vínculo],"docente",Resp2[2.06],B7)</f>
        <v>0</v>
      </c>
      <c r="E7" s="10">
        <f>COUNTIF(Resp2[2.06],B7)</f>
        <v>0</v>
      </c>
      <c r="F7" s="25">
        <f>ROUND($E7/1724*100,2)</f>
        <v>0</v>
      </c>
      <c r="G7" s="25">
        <f>ROUND($E7/SUM($E$7:$E$11)*100,3)</f>
        <v>0</v>
      </c>
    </row>
    <row r="8" spans="1:7">
      <c r="B8" s="9" t="s">
        <v>160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82</v>
      </c>
      <c r="C9" s="10">
        <f>COUNTIFS(Resp2[Vínculo],"tecnico",Resp2[2.06],B9)</f>
        <v>0</v>
      </c>
      <c r="D9" s="10">
        <f>COUNTIFS(Resp2[Vínculo],"docente",Resp2[2.06],B9)</f>
        <v>0</v>
      </c>
      <c r="E9" s="10">
        <f>COUNTIF(Resp2[2.06],B9)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24</v>
      </c>
      <c r="C10" s="10">
        <f>COUNTIFS(Resp2[Vínculo],"tecnico",Resp2[2.06],B10)</f>
        <v>0</v>
      </c>
      <c r="D10" s="10">
        <f>COUNTIFS(Resp2[Vínculo],"docente",Resp2[2.06],B10)</f>
        <v>0</v>
      </c>
      <c r="E10" s="10">
        <f>COUNTIF(Resp2[2.06],B10)</f>
        <v>0</v>
      </c>
      <c r="F10" s="25">
        <f t="shared" si="0"/>
        <v>0</v>
      </c>
      <c r="G10" s="25">
        <f t="shared" si="1"/>
        <v>0</v>
      </c>
    </row>
    <row r="11" spans="1:7">
      <c r="B11" s="26" t="s">
        <v>13</v>
      </c>
      <c r="C11" s="10">
        <f>COUNTIFS(Resp2[Vínculo],"tecnico",Resp2[2.06],B11)</f>
        <v>2</v>
      </c>
      <c r="D11" s="10">
        <f>COUNTIFS(Resp2[Vínculo],"docente",Resp2[2.06],B11)</f>
        <v>0</v>
      </c>
      <c r="E11" s="10">
        <f>COUNTIF(Resp2[2.06],B11)</f>
        <v>2</v>
      </c>
      <c r="F11" s="25">
        <f t="shared" si="0"/>
        <v>0.12</v>
      </c>
      <c r="G11" s="25">
        <f t="shared" si="1"/>
        <v>100</v>
      </c>
    </row>
    <row r="12" spans="1:7">
      <c r="B12" s="27" t="s">
        <v>161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151</v>
      </c>
      <c r="B3" s="10" t="str">
        <f>VLOOKUP(A$2, Eixo[], 4, FALSE)</f>
        <v>Eixo3: Questão 1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1470-SUM(C7:C11)</f>
        <v>1468</v>
      </c>
      <c r="D6" s="9">
        <f>1470-SUM(D7:D11)</f>
        <v>1470</v>
      </c>
      <c r="E6" s="10">
        <f>1470-SUM(E7:E11)</f>
        <v>1468</v>
      </c>
      <c r="F6" s="25">
        <f>ROUND($E6/1470*100,2)</f>
        <v>99.86</v>
      </c>
    </row>
    <row r="7" spans="1:7">
      <c r="B7" s="9" t="s">
        <v>159</v>
      </c>
      <c r="C7" s="10">
        <f>COUNTIFS(Resp3[Vínculo],"tecnico",Resp3[3.01],B7)</f>
        <v>0</v>
      </c>
      <c r="D7" s="10">
        <f>COUNTIFS(Resp3[Vínculo],"docente",Resp3[3.01],B7)</f>
        <v>0</v>
      </c>
      <c r="E7" s="10">
        <f>COUNTIF(Resp3[3.01],B7)</f>
        <v>0</v>
      </c>
      <c r="F7" s="25">
        <f t="shared" ref="F7:F12" si="0">ROUND($E7/1470*100,2)</f>
        <v>0</v>
      </c>
      <c r="G7" s="25">
        <f>ROUND($E7/SUM($E$7:$E$11)*100,3)</f>
        <v>0</v>
      </c>
    </row>
    <row r="8" spans="1:7">
      <c r="B8" s="9" t="s">
        <v>160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82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24</v>
      </c>
      <c r="C10" s="10">
        <f>COUNTIFS(Resp3[Vínculo],"tecnico",Resp3[3.01],B10)</f>
        <v>0</v>
      </c>
      <c r="D10" s="10">
        <f>COUNTIFS(Resp3[Vínculo],"docente",Resp3[3.01],B10)</f>
        <v>0</v>
      </c>
      <c r="E10" s="10">
        <f>COUNTIF(Resp3[3.01],B10)</f>
        <v>0</v>
      </c>
      <c r="F10" s="25">
        <f t="shared" si="0"/>
        <v>0</v>
      </c>
      <c r="G10" s="25">
        <f t="shared" si="1"/>
        <v>0</v>
      </c>
    </row>
    <row r="11" spans="1:7">
      <c r="B11" s="26" t="s">
        <v>13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0.14000000000000001</v>
      </c>
      <c r="G11" s="25">
        <f t="shared" si="1"/>
        <v>100</v>
      </c>
    </row>
    <row r="12" spans="1:7">
      <c r="B12" s="27" t="s">
        <v>161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151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162</v>
      </c>
      <c r="C5" s="7" t="s">
        <v>163</v>
      </c>
      <c r="D5" s="7" t="s">
        <v>164</v>
      </c>
      <c r="E5" s="7" t="s">
        <v>155</v>
      </c>
      <c r="F5" s="8" t="s">
        <v>156</v>
      </c>
      <c r="G5" s="7" t="s">
        <v>157</v>
      </c>
    </row>
    <row r="6" spans="1:8" ht="15" customHeight="1">
      <c r="B6" s="18" t="s">
        <v>165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74</v>
      </c>
      <c r="C7" s="18">
        <f>COUNTIFS(Resp2[Vínculo],"tecnico",Resp2[2.01],C17)</f>
        <v>2</v>
      </c>
      <c r="D7" s="18">
        <f>COUNTIFS(Resp2[Vínculo],"docente",Resp2[2.01],C17)</f>
        <v>0</v>
      </c>
      <c r="E7" s="13">
        <f>COUNTIF(Resp2[2.01],C17)</f>
        <v>2</v>
      </c>
      <c r="F7" s="14">
        <f>ROUND($E7/$E$10*100,2)</f>
        <v>100</v>
      </c>
      <c r="G7" s="13">
        <f>ROUND($E7/SUM($E$7:$E$9)*100,2)</f>
        <v>100</v>
      </c>
    </row>
    <row r="8" spans="1:8" ht="15" customHeight="1">
      <c r="B8" s="18" t="s">
        <v>75</v>
      </c>
      <c r="C8" s="18">
        <f>COUNTIFS(Resp2[Vínculo],"tecnico",Resp2[2.01],C18)</f>
        <v>0</v>
      </c>
      <c r="D8" s="18">
        <f>COUNTIFS(Resp2[Vínculo],"docente",Resp2[2.01],C18)</f>
        <v>0</v>
      </c>
      <c r="E8" s="13">
        <f>COUNTIF(Resp2[2.01],C18)</f>
        <v>0</v>
      </c>
      <c r="F8" s="14">
        <f t="shared" ref="F8:F10" si="0">ROUND($E8/$E$10*100,2)</f>
        <v>0</v>
      </c>
      <c r="G8" s="13">
        <f>ROUND($E8/SUM($E$7:$E$9)*100,2)</f>
        <v>0</v>
      </c>
    </row>
    <row r="9" spans="1:8" ht="15" customHeight="1">
      <c r="B9" s="18" t="s">
        <v>86</v>
      </c>
      <c r="C9" s="18">
        <f>COUNTIFS(Resp2[Vínculo],"tecnico",Resp2[2.01],C19)</f>
        <v>0</v>
      </c>
      <c r="D9" s="93">
        <f>COUNTIFS(Resp2[Vínculo],"docente",Resp2[2.01],C19)</f>
        <v>0</v>
      </c>
      <c r="E9" s="94">
        <f>COUNTIF(Resp2[2.01],C19)</f>
        <v>0</v>
      </c>
      <c r="F9" s="95">
        <f t="shared" si="0"/>
        <v>0</v>
      </c>
      <c r="G9" s="94">
        <f>ROUND($E9/SUM($E$7:$E$9)*100,2)</f>
        <v>0</v>
      </c>
    </row>
    <row r="10" spans="1:8" ht="15" customHeight="1">
      <c r="B10" s="11" t="s">
        <v>161</v>
      </c>
      <c r="C10" s="11">
        <f>SUM(C6:C9)</f>
        <v>2</v>
      </c>
      <c r="D10" s="9">
        <f>SUM(D6:D9)</f>
        <v>0</v>
      </c>
      <c r="E10" s="15">
        <f>SUM(C10:D10)</f>
        <v>2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166</v>
      </c>
      <c r="C15" s="22" t="s">
        <v>162</v>
      </c>
      <c r="D15" s="6"/>
      <c r="E15" s="6"/>
      <c r="F15" s="6"/>
      <c r="G15" s="6"/>
    </row>
    <row r="16" spans="1:8" ht="15" customHeight="1">
      <c r="B16" t="s">
        <v>165</v>
      </c>
      <c r="C16" s="21" t="s">
        <v>167</v>
      </c>
    </row>
    <row r="17" spans="1:5" ht="15" customHeight="1">
      <c r="B17" t="s">
        <v>74</v>
      </c>
      <c r="C17" s="9" t="s">
        <v>10</v>
      </c>
    </row>
    <row r="18" spans="1:5" ht="15" customHeight="1">
      <c r="B18" t="s">
        <v>75</v>
      </c>
      <c r="C18" s="21" t="s">
        <v>168</v>
      </c>
    </row>
    <row r="19" spans="1:5">
      <c r="B19" t="s">
        <v>86</v>
      </c>
      <c r="C19" s="21" t="s">
        <v>169</v>
      </c>
    </row>
    <row r="24" spans="1:5">
      <c r="B24" s="11" t="s">
        <v>170</v>
      </c>
      <c r="C24" s="11" t="s">
        <v>171</v>
      </c>
      <c r="D24" s="7" t="s">
        <v>153</v>
      </c>
      <c r="E24" s="8" t="s">
        <v>156</v>
      </c>
    </row>
    <row r="25" spans="1:5">
      <c r="B25" s="29" t="s">
        <v>86</v>
      </c>
      <c r="C25" s="29" t="s">
        <v>76</v>
      </c>
      <c r="D25" s="15">
        <f>C9</f>
        <v>0</v>
      </c>
      <c r="E25" s="44">
        <f>ROUND(D25/SUM(D$25:D$28)*100,3)</f>
        <v>0</v>
      </c>
    </row>
    <row r="26" spans="1:5">
      <c r="A26" t="s">
        <v>172</v>
      </c>
      <c r="B26" s="30"/>
      <c r="C26" s="30"/>
      <c r="D26" s="15"/>
      <c r="E26" s="44"/>
    </row>
    <row r="27" spans="1:5">
      <c r="B27" s="31" t="s">
        <v>75</v>
      </c>
      <c r="C27" s="31" t="s">
        <v>81</v>
      </c>
      <c r="D27" s="15">
        <f>C8</f>
        <v>0</v>
      </c>
      <c r="E27" s="44">
        <f t="shared" ref="E27:E28" si="1">ROUND(D27/SUM(D$25:D$28)*100,3)</f>
        <v>0</v>
      </c>
    </row>
    <row r="28" spans="1:5">
      <c r="B28" s="51" t="s">
        <v>74</v>
      </c>
      <c r="C28" s="51" t="s">
        <v>87</v>
      </c>
      <c r="D28" s="33">
        <f>C7</f>
        <v>2</v>
      </c>
      <c r="E28" s="45">
        <f t="shared" si="1"/>
        <v>100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151</v>
      </c>
      <c r="B3" s="5" t="str">
        <f>VLOOKUP(A$2,Eixo[],4,FALSE)</f>
        <v>Eixo 2: Questão 2</v>
      </c>
      <c r="C3" s="5"/>
      <c r="D3" s="5"/>
    </row>
    <row r="5" spans="1:7">
      <c r="B5" s="3" t="s">
        <v>152</v>
      </c>
      <c r="C5" s="3" t="s">
        <v>163</v>
      </c>
      <c r="D5" s="3" t="s">
        <v>164</v>
      </c>
      <c r="E5" s="3" t="s">
        <v>155</v>
      </c>
      <c r="F5" s="4" t="s">
        <v>156</v>
      </c>
      <c r="G5" s="3" t="s">
        <v>157</v>
      </c>
    </row>
    <row r="6" spans="1:7">
      <c r="B6" s="16" t="s">
        <v>165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74</v>
      </c>
      <c r="C7" s="17">
        <f>COUNTIFS(Resp2[Vínculo],"tecnico",Resp2[2.02],C17)</f>
        <v>0</v>
      </c>
      <c r="D7" s="17">
        <f>COUNTIFS(Resp2[Vínculo],"docente",Resp2[2.02],C17)</f>
        <v>0</v>
      </c>
      <c r="E7" s="15">
        <f>COUNTIF(Resp2[2.02],C17)</f>
        <v>0</v>
      </c>
      <c r="F7" s="10">
        <f>ROUND($E7/$E$9*100,2)</f>
        <v>0</v>
      </c>
      <c r="G7" s="9">
        <f>ROUND($E7/SUM($E$7:$E$8)*100,2)</f>
        <v>0</v>
      </c>
    </row>
    <row r="8" spans="1:7">
      <c r="B8" s="17" t="s">
        <v>75</v>
      </c>
      <c r="C8" s="17">
        <f>COUNTIFS(Resp2[Vínculo],"tecnico",Resp2[2.02],C18)</f>
        <v>2</v>
      </c>
      <c r="D8" s="96">
        <f>COUNTIFS(Resp2[Vínculo],"docente",Resp2[2.02],C18)</f>
        <v>0</v>
      </c>
      <c r="E8" s="97">
        <f>COUNTIF(Resp2[2.02],C18)</f>
        <v>2</v>
      </c>
      <c r="F8" s="98">
        <f>ROUND($E8/$E$9*100,2)</f>
        <v>100</v>
      </c>
      <c r="G8" s="99">
        <f>ROUND($E8/SUM($E$7:$E$8)*100,2)</f>
        <v>100</v>
      </c>
    </row>
    <row r="9" spans="1:7">
      <c r="B9" s="11" t="s">
        <v>161</v>
      </c>
      <c r="C9" s="11">
        <f>SUM(C6:C8)</f>
        <v>2</v>
      </c>
      <c r="D9" s="9">
        <f>SUM(D6:D8)</f>
        <v>0</v>
      </c>
      <c r="E9" s="9">
        <f>SUM(C9:D9)</f>
        <v>2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173</v>
      </c>
      <c r="C15" s="6" t="s">
        <v>174</v>
      </c>
      <c r="D15" s="6"/>
      <c r="E15" s="6"/>
      <c r="F15" s="6"/>
      <c r="G15" s="6"/>
    </row>
    <row r="16" spans="1:7">
      <c r="B16" t="s">
        <v>165</v>
      </c>
      <c r="C16" s="24" t="s">
        <v>175</v>
      </c>
    </row>
    <row r="17" spans="1:5">
      <c r="B17" t="s">
        <v>74</v>
      </c>
      <c r="C17" s="24" t="s">
        <v>176</v>
      </c>
    </row>
    <row r="18" spans="1:5">
      <c r="B18" t="s">
        <v>75</v>
      </c>
      <c r="C18" s="24" t="s">
        <v>11</v>
      </c>
    </row>
    <row r="21" spans="1:5">
      <c r="B21" s="11" t="s">
        <v>170</v>
      </c>
      <c r="C21" s="11" t="s">
        <v>171</v>
      </c>
      <c r="D21" s="7" t="s">
        <v>153</v>
      </c>
      <c r="E21" s="8" t="s">
        <v>156</v>
      </c>
    </row>
    <row r="22" spans="1:5">
      <c r="B22" s="29" t="s">
        <v>74</v>
      </c>
      <c r="C22" s="29" t="s">
        <v>76</v>
      </c>
      <c r="D22" s="15">
        <f>C7</f>
        <v>0</v>
      </c>
      <c r="E22" s="44">
        <f>ROUND(D22/SUM(D$22:D$25)*100,3)</f>
        <v>0</v>
      </c>
    </row>
    <row r="23" spans="1:5">
      <c r="A23" s="132" t="s">
        <v>172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75</v>
      </c>
      <c r="C25" s="51" t="s">
        <v>87</v>
      </c>
      <c r="D25" s="33">
        <f>C8</f>
        <v>2</v>
      </c>
      <c r="E25" s="45">
        <f>ROUND(D25/SUM(D$22:D$25)*100,3)</f>
        <v>100</v>
      </c>
    </row>
    <row r="26" spans="1:5">
      <c r="A26" s="128"/>
      <c r="D26">
        <f>SUM(D22:D25)</f>
        <v>2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151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152</v>
      </c>
      <c r="C5" s="7" t="s">
        <v>163</v>
      </c>
      <c r="D5" s="7" t="s">
        <v>154</v>
      </c>
      <c r="E5" s="7" t="s">
        <v>155</v>
      </c>
      <c r="F5" s="8" t="s">
        <v>156</v>
      </c>
      <c r="G5" s="7" t="s">
        <v>157</v>
      </c>
    </row>
    <row r="6" spans="1:7">
      <c r="B6" s="9" t="s">
        <v>167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2</v>
      </c>
      <c r="D7" s="10">
        <f>COUNTIFS(Resp2[Vínculo],"docente",Resp2[2.03],B7)</f>
        <v>0</v>
      </c>
      <c r="E7" s="9">
        <f>COUNTIF(Resp2[2.03],B7)</f>
        <v>2</v>
      </c>
      <c r="F7" s="10">
        <f t="shared" ref="F7:F9" si="0">ROUND($E7/$E$9*100,2)</f>
        <v>100</v>
      </c>
      <c r="G7" s="10">
        <f>ROUND($E7/SUM($E$7:$E$8)*100,2)</f>
        <v>100</v>
      </c>
    </row>
    <row r="8" spans="1:7">
      <c r="B8" s="9" t="s">
        <v>177</v>
      </c>
      <c r="C8" s="10">
        <f>COUNTIFS(Resp2[Vínculo],"tecnico",Resp2[2.03],B8)</f>
        <v>0</v>
      </c>
      <c r="D8" s="10">
        <f>COUNTIFS(Resp2[Vínculo],"docente",Resp2[2.03],B8)</f>
        <v>0</v>
      </c>
      <c r="E8" s="9">
        <f>COUNTIF(Resp2[2.03],B8)</f>
        <v>0</v>
      </c>
      <c r="F8" s="98">
        <f>ROUND($E8/$E$9*100,2)</f>
        <v>0</v>
      </c>
      <c r="G8" s="98">
        <f>ROUND($E8/SUM($E$7:$E$8)*100,2)</f>
        <v>0</v>
      </c>
    </row>
    <row r="9" spans="1:7">
      <c r="B9" s="11" t="s">
        <v>161</v>
      </c>
      <c r="C9" s="11">
        <f>SUM(C6:C8)</f>
        <v>2</v>
      </c>
      <c r="D9" s="11">
        <f>SUM(D6:D8)</f>
        <v>0</v>
      </c>
      <c r="E9" s="11">
        <f>SUM(C9:D9)</f>
        <v>2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151</v>
      </c>
      <c r="B3" s="10" t="str">
        <f>VLOOKUP(A$2, Eixo[], 4, FALSE)</f>
        <v>Eixo 2: Questão 6</v>
      </c>
      <c r="C3" s="10"/>
      <c r="D3" s="10"/>
    </row>
    <row r="5" spans="1:9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9">
      <c r="B6" s="9" t="s">
        <v>158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159</v>
      </c>
      <c r="C7" s="10">
        <f>COUNTIFS(Resp2[Vínculo],"tecnico",Resp2[2.06],B7)</f>
        <v>0</v>
      </c>
      <c r="D7" s="10">
        <f>COUNTIFS(Resp2[Vínculo],"docente",Resp2[2.06],B7)</f>
        <v>0</v>
      </c>
      <c r="E7" s="10">
        <f>COUNTIF(Resp2[2.06],B7)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9">
      <c r="B8" s="9" t="s">
        <v>160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178</v>
      </c>
      <c r="C9" s="10">
        <f>COUNTIFS(Resp2[Vínculo],"tecnico",Resp2[2.06],B9)</f>
        <v>0</v>
      </c>
      <c r="D9" s="10">
        <f>COUNTIFS(Resp2[Vínculo],"docente",Resp2[2.06],B9)</f>
        <v>0</v>
      </c>
      <c r="E9" s="10">
        <f>COUNTIF(Resp2[2.06],B9)</f>
        <v>0</v>
      </c>
      <c r="F9" s="25">
        <f t="shared" si="0"/>
        <v>0</v>
      </c>
      <c r="G9" s="25">
        <f t="shared" si="1"/>
        <v>0</v>
      </c>
    </row>
    <row r="10" spans="1:9">
      <c r="B10" s="9" t="s">
        <v>82</v>
      </c>
      <c r="C10" s="10">
        <f>COUNTIFS(Resp2[Vínculo],"tecnico",Resp2[2.06],B10)</f>
        <v>0</v>
      </c>
      <c r="D10" s="10">
        <f>COUNTIFS(Resp2[Vínculo],"docente",Resp2[2.06],B10)</f>
        <v>0</v>
      </c>
      <c r="E10" s="10">
        <f>COUNTIF(Resp2[2.06],B10)</f>
        <v>0</v>
      </c>
      <c r="F10" s="25">
        <f t="shared" si="0"/>
        <v>0</v>
      </c>
      <c r="G10" s="25">
        <f t="shared" si="1"/>
        <v>0</v>
      </c>
    </row>
    <row r="11" spans="1:9">
      <c r="B11" s="9" t="s">
        <v>24</v>
      </c>
      <c r="C11" s="10">
        <f>COUNTIFS(Resp2[Vínculo],"tecnico",Resp2[2.06],B11)</f>
        <v>0</v>
      </c>
      <c r="D11" s="10">
        <f>COUNTIFS(Resp2[Vínculo],"docente",Resp2[2.06],B11)</f>
        <v>0</v>
      </c>
      <c r="E11" s="10">
        <f>COUNTIF(Resp2[2.06],B11)</f>
        <v>0</v>
      </c>
      <c r="F11" s="25">
        <f t="shared" si="0"/>
        <v>0</v>
      </c>
      <c r="G11" s="25">
        <f t="shared" si="1"/>
        <v>0</v>
      </c>
    </row>
    <row r="12" spans="1:9">
      <c r="B12" s="99" t="s">
        <v>13</v>
      </c>
      <c r="C12" s="98">
        <f>COUNTIFS(Resp2[Vínculo],"tecnico",Resp2[2.06],B12)</f>
        <v>2</v>
      </c>
      <c r="D12" s="98">
        <f>COUNTIFS(Resp2[Vínculo],"docente",Resp2[2.06],B12)</f>
        <v>0</v>
      </c>
      <c r="E12" s="98">
        <f>COUNTIF(Resp2[2.06],B12)</f>
        <v>2</v>
      </c>
      <c r="F12" s="100">
        <f t="shared" si="0"/>
        <v>100</v>
      </c>
      <c r="G12" s="100">
        <f t="shared" si="1"/>
        <v>100</v>
      </c>
    </row>
    <row r="13" spans="1:9">
      <c r="B13" s="10" t="s">
        <v>161</v>
      </c>
      <c r="C13" s="10">
        <f>SUM(C6:C12)</f>
        <v>2</v>
      </c>
      <c r="D13" s="10">
        <f>SUM(D6:D12)</f>
        <v>0</v>
      </c>
      <c r="E13" s="10">
        <f>SUM(C13:D13)</f>
        <v>2</v>
      </c>
      <c r="F13" s="103">
        <f t="shared" si="0"/>
        <v>100</v>
      </c>
      <c r="G13" s="103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170</v>
      </c>
      <c r="C17" s="11" t="s">
        <v>171</v>
      </c>
      <c r="D17" s="7" t="s">
        <v>153</v>
      </c>
      <c r="E17" s="8" t="s">
        <v>156</v>
      </c>
      <c r="F17" s="37"/>
      <c r="G17" s="38"/>
    </row>
    <row r="18" spans="2:7">
      <c r="B18" s="29" t="s">
        <v>77</v>
      </c>
      <c r="C18" s="29" t="s">
        <v>76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179</v>
      </c>
      <c r="C19" s="30" t="s">
        <v>69</v>
      </c>
      <c r="D19" s="15">
        <f>C7</f>
        <v>0</v>
      </c>
      <c r="E19" s="44">
        <f t="shared" ref="E19:E21" si="2">ROUND(D19/SUM(D$18:D$21)*100,3)</f>
        <v>0</v>
      </c>
      <c r="F19" s="37"/>
      <c r="G19" s="38"/>
    </row>
    <row r="20" spans="2:7">
      <c r="B20" s="31" t="s">
        <v>82</v>
      </c>
      <c r="C20" s="31" t="s">
        <v>81</v>
      </c>
      <c r="D20" s="15">
        <f>C10</f>
        <v>0</v>
      </c>
      <c r="E20" s="44">
        <f t="shared" si="2"/>
        <v>0</v>
      </c>
    </row>
    <row r="21" spans="2:7">
      <c r="B21" s="51" t="s">
        <v>88</v>
      </c>
      <c r="C21" s="51" t="s">
        <v>87</v>
      </c>
      <c r="D21" s="33">
        <f>SUM(C11:C12)</f>
        <v>2</v>
      </c>
      <c r="E21" s="45">
        <f t="shared" si="2"/>
        <v>100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151</v>
      </c>
      <c r="B3" s="10" t="str">
        <f>VLOOKUP(A$2, Eixo[], 4, FALSE)</f>
        <v>Eixo 2: Questão 7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COUNTIFS(Resp2[Vínculo],"tecnico",Resp2[2.07],B7)</f>
        <v>0</v>
      </c>
      <c r="D7" s="10">
        <f>COUNTIFS(Resp2[Vínculo],"docente",Resp2[2.07],B7)</f>
        <v>0</v>
      </c>
      <c r="E7" s="10">
        <f>COUNTIF(Resp2[2.07],B7)</f>
        <v>0</v>
      </c>
      <c r="F7" s="25">
        <f t="shared" ref="F7:F12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COUNTIFS(Resp2[Vínculo],"tecnico",Resp2[2.07],B9)</f>
        <v>0</v>
      </c>
      <c r="D9" s="10">
        <f>COUNTIFS(Resp2[Vínculo],"docente",Resp2[2.07],B9)</f>
        <v>0</v>
      </c>
      <c r="E9" s="10">
        <f>COUNTIF(Resp2[2.07],B9)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COUNTIFS(Resp2[Vínculo],"tecnico",Resp2[2.07],B10)</f>
        <v>0</v>
      </c>
      <c r="D10" s="10">
        <f>COUNTIFS(Resp2[Vínculo],"docente",Resp2[2.07],B10)</f>
        <v>0</v>
      </c>
      <c r="E10" s="10">
        <f>COUNTIF(Resp2[2.07],B10)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COUNTIFS(Resp2[Vínculo],"tecnico",Resp2[2.07],B11)</f>
        <v>0</v>
      </c>
      <c r="D11" s="10">
        <f>COUNTIFS(Resp2[Vínculo],"docente",Resp2[2.07],B11)</f>
        <v>0</v>
      </c>
      <c r="E11" s="10">
        <f>COUNTIF(Resp2[2.07],B11)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COUNTIFS(Resp2[Vínculo],"tecnico",Resp2[2.07],B12)</f>
        <v>2</v>
      </c>
      <c r="D12" s="10">
        <f>COUNTIFS(Resp2[Vínculo],"docente",Resp2[2.07],B12)</f>
        <v>0</v>
      </c>
      <c r="E12" s="10">
        <f>COUNTIF(Resp2[2.07],B12)</f>
        <v>2</v>
      </c>
      <c r="F12" s="100">
        <f t="shared" si="0"/>
        <v>100</v>
      </c>
      <c r="G12" s="25">
        <f t="shared" si="1"/>
        <v>100</v>
      </c>
    </row>
    <row r="13" spans="1:7">
      <c r="B13" s="9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>ROUND($E13/$E$13*100,2)</f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170</v>
      </c>
      <c r="C17" s="22" t="s">
        <v>171</v>
      </c>
      <c r="D17" s="7" t="s">
        <v>153</v>
      </c>
      <c r="E17" s="8" t="s">
        <v>156</v>
      </c>
      <c r="F17" s="15"/>
      <c r="G17" s="10"/>
    </row>
    <row r="18" spans="2:7">
      <c r="B18" s="29" t="s">
        <v>77</v>
      </c>
      <c r="C18" s="29" t="s">
        <v>76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69</v>
      </c>
      <c r="D19" s="15">
        <f>C7</f>
        <v>0</v>
      </c>
      <c r="E19" s="39">
        <f t="shared" ref="E19:E21" si="2">ROUND(D19/SUM(D$18:D$21)*100,3)</f>
        <v>0</v>
      </c>
      <c r="F19" s="15"/>
      <c r="G19" s="10"/>
    </row>
    <row r="20" spans="2:7">
      <c r="B20" s="31" t="s">
        <v>82</v>
      </c>
      <c r="C20" s="31" t="s">
        <v>81</v>
      </c>
      <c r="D20" s="15">
        <f>C10</f>
        <v>0</v>
      </c>
      <c r="E20" s="39">
        <f t="shared" si="2"/>
        <v>0</v>
      </c>
    </row>
    <row r="21" spans="2:7">
      <c r="B21" s="32" t="s">
        <v>88</v>
      </c>
      <c r="C21" s="32" t="s">
        <v>87</v>
      </c>
      <c r="D21" s="33">
        <f>SUM(C11:C12)</f>
        <v>2</v>
      </c>
      <c r="E21" s="42">
        <f t="shared" si="2"/>
        <v>100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151</v>
      </c>
      <c r="B3" s="10" t="str">
        <f>VLOOKUP(A$2, Eixo[], 4, FALSE)</f>
        <v>Eixo 2: Questão 8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COUNTIFS(Resp2[Vínculo],"tecnico",Resp2[2.08],B7)</f>
        <v>0</v>
      </c>
      <c r="D7" s="10">
        <f>COUNTIFS(Resp2[Vínculo],"docente",Resp2[2.08],B7)</f>
        <v>0</v>
      </c>
      <c r="E7" s="10">
        <f>COUNTIF(Resp2[2.08],B7)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COUNTIFS(Resp2[Vínculo],"tecnico",Resp2[2.08],B9)</f>
        <v>0</v>
      </c>
      <c r="D9" s="10">
        <f>COUNTIFS(Resp2[Vínculo],"docente",Resp2[2.08],B9)</f>
        <v>0</v>
      </c>
      <c r="E9" s="10">
        <f>COUNTIF(Resp2[2.08],B9)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COUNTIFS(Resp2[Vínculo],"tecnico",Resp2[2.08],B10)</f>
        <v>0</v>
      </c>
      <c r="D10" s="10">
        <f>COUNTIFS(Resp2[Vínculo],"docente",Resp2[2.08],B10)</f>
        <v>0</v>
      </c>
      <c r="E10" s="10">
        <f>COUNTIF(Resp2[2.08],B10)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COUNTIFS(Resp2[Vínculo],"tecnico",Resp2[2.08],B11)</f>
        <v>0</v>
      </c>
      <c r="D11" s="10">
        <f>COUNTIFS(Resp2[Vínculo],"docente",Resp2[2.08],B11)</f>
        <v>0</v>
      </c>
      <c r="E11" s="10">
        <f>COUNTIF(Resp2[2.08],B11)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COUNTIFS(Resp2[Vínculo],"tecnico",Resp2[2.08],B12)</f>
        <v>2</v>
      </c>
      <c r="D12" s="10">
        <f>COUNTIFS(Resp2[Vínculo],"docente",Resp2[2.08],B12)</f>
        <v>0</v>
      </c>
      <c r="E12" s="10">
        <f>COUNTIF(Resp2[2.08],B12)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170</v>
      </c>
      <c r="C17" s="22" t="s">
        <v>171</v>
      </c>
      <c r="D17" s="7" t="s">
        <v>153</v>
      </c>
      <c r="E17" s="8" t="s">
        <v>156</v>
      </c>
      <c r="F17" s="15"/>
      <c r="G17" s="10"/>
    </row>
    <row r="18" spans="2:7">
      <c r="B18" s="29" t="s">
        <v>77</v>
      </c>
      <c r="C18" s="29" t="s">
        <v>76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179</v>
      </c>
      <c r="C19" s="30" t="s">
        <v>69</v>
      </c>
      <c r="D19" s="15">
        <f>C7</f>
        <v>0</v>
      </c>
      <c r="E19" s="39">
        <f t="shared" ref="E19:E21" si="2">ROUND(D19/SUM(D$18:D$21)*100,3)</f>
        <v>0</v>
      </c>
      <c r="F19" s="15"/>
      <c r="G19" s="10"/>
    </row>
    <row r="20" spans="2:7">
      <c r="B20" s="31" t="s">
        <v>82</v>
      </c>
      <c r="C20" s="31" t="s">
        <v>81</v>
      </c>
      <c r="D20" s="15">
        <f>C10</f>
        <v>0</v>
      </c>
      <c r="E20" s="39">
        <f t="shared" si="2"/>
        <v>0</v>
      </c>
    </row>
    <row r="21" spans="2:7">
      <c r="B21" s="51" t="s">
        <v>88</v>
      </c>
      <c r="C21" s="51" t="s">
        <v>87</v>
      </c>
      <c r="D21" s="15">
        <f>SUM(C11:C12)</f>
        <v>2</v>
      </c>
      <c r="E21" s="39">
        <f t="shared" si="2"/>
        <v>100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151</v>
      </c>
      <c r="B3" s="10" t="str">
        <f>VLOOKUP(A$2, Eixo[], 4, FALSE)</f>
        <v>Eixo3: Questão 1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COUNTIFS(Resp3[Vínculo],"tecnico",Resp3[3.01],B7)</f>
        <v>0</v>
      </c>
      <c r="D7" s="10">
        <f>COUNTIFS(Resp3[Vínculo],"docente",Resp3[3.01],B7)</f>
        <v>0</v>
      </c>
      <c r="E7" s="10">
        <f>COUNTIF(Resp3[3.01],B7)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COUNTIFS(Resp3[Vínculo],"tecnico",Resp3[3.01],B10)</f>
        <v>0</v>
      </c>
      <c r="D10" s="10">
        <f>COUNTIFS(Resp3[Vínculo],"docente",Resp3[3.01],B10)</f>
        <v>0</v>
      </c>
      <c r="E10" s="10">
        <f>COUNTIF(Resp3[3.01],B10)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COUNTIFS(Resp3[Vínculo],"tecnico",Resp3[3.01],B11)</f>
        <v>0</v>
      </c>
      <c r="D11" s="10">
        <f>COUNTIFS(Resp3[Vínculo],"docente",Resp3[3.01],B11)</f>
        <v>0</v>
      </c>
      <c r="E11" s="10">
        <f>COUNTIF(Resp3[3.01],B11)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COUNTIFS(Resp3[Vínculo],"tecnico",Resp3[3.01],B12)</f>
        <v>2</v>
      </c>
      <c r="D12" s="10">
        <f>COUNTIFS(Resp3[Vínculo],"docente",Resp3[3.01],B12)</f>
        <v>0</v>
      </c>
      <c r="E12" s="10">
        <f>COUNTIF(Resp3[3.01],B12)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170</v>
      </c>
      <c r="C18" s="22" t="s">
        <v>171</v>
      </c>
      <c r="D18" s="46" t="s">
        <v>153</v>
      </c>
      <c r="E18" s="47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151</v>
      </c>
      <c r="B3" s="10" t="str">
        <f>VLOOKUP(A$2, Eixo[], 4, FALSE)</f>
        <v>Eixo3: Questão 2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159</v>
      </c>
      <c r="C7" s="10">
        <f>COUNTIFS(Resp3[Vínculo],"tecnico",Resp3[3.02],B7)</f>
        <v>0</v>
      </c>
      <c r="D7" s="10">
        <f>COUNTIFS(Resp3[Vínculo],"docente",Resp3[3.02],B7)</f>
        <v>0</v>
      </c>
      <c r="E7" s="10">
        <f>COUNTIF(Resp3[3.02],B7)</f>
        <v>0</v>
      </c>
      <c r="F7" s="25">
        <f t="shared" ref="F7:F13" si="0">ROUND($E7/E$13*100,2)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COUNTIFS(Resp3[Vínculo],"tecnico",Resp3[3.02],B10)</f>
        <v>0</v>
      </c>
      <c r="D10" s="10">
        <f>COUNTIFS(Resp3[Vínculo],"docente",Resp3[3.02],B10)</f>
        <v>0</v>
      </c>
      <c r="E10" s="10">
        <f>COUNTIF(Resp3[3.02],B10)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COUNTIFS(Resp3[Vínculo],"tecnico",Resp3[3.02],B11)</f>
        <v>0</v>
      </c>
      <c r="D11" s="10">
        <f>COUNTIFS(Resp3[Vínculo],"docente",Resp3[3.02],B11)</f>
        <v>0</v>
      </c>
      <c r="E11" s="10">
        <f>COUNTIF(Resp3[3.02],B11)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COUNTIFS(Resp3[Vínculo],"tecnico",Resp3[3.02],B12)</f>
        <v>2</v>
      </c>
      <c r="D12" s="10">
        <f>COUNTIFS(Resp3[Vínculo],"docente",Resp3[3.02],B12)</f>
        <v>0</v>
      </c>
      <c r="E12" s="10">
        <f>COUNTIF(Resp3[3.02],B12)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170</v>
      </c>
      <c r="C18" s="22" t="s">
        <v>171</v>
      </c>
      <c r="D18" s="7" t="s">
        <v>153</v>
      </c>
      <c r="E18" s="35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10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10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34">
        <f>ROUND(D22/SUM(D$19:D$22)*100,3)</f>
        <v>100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151</v>
      </c>
      <c r="B3" s="10" t="str">
        <f>VLOOKUP(A$2, Eixo[], 4, FALSE)</f>
        <v>Eixo3: Questão 3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COUNTIFS(Resp3[Vínculo],"tecnico",Resp3[3.03],B7)</f>
        <v>0</v>
      </c>
      <c r="D7" s="10">
        <f>COUNTIFS(Resp3[Vínculo],"docente",Resp3[3.03],B7)</f>
        <v>0</v>
      </c>
      <c r="E7" s="10">
        <f>COUNTIF(Resp3[3.03],B7)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COUNTIFS(Resp3[Vínculo],"tecnico",Resp3[3.03],B10)</f>
        <v>0</v>
      </c>
      <c r="D10" s="10">
        <f>COUNTIFS(Resp3[Vínculo],"docente",Resp3[3.03],B10)</f>
        <v>0</v>
      </c>
      <c r="E10" s="10">
        <f>COUNTIF(Resp3[3.03],B10)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COUNTIFS(Resp3[Vínculo],"tecnico",Resp3[3.03],B11)</f>
        <v>0</v>
      </c>
      <c r="D11" s="10">
        <f>COUNTIFS(Resp3[Vínculo],"docente",Resp3[3.03],B11)</f>
        <v>0</v>
      </c>
      <c r="E11" s="10">
        <f>COUNTIF(Resp3[3.03],B11)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COUNTIFS(Resp3[Vínculo],"tecnico",Resp3[3.03],B12)</f>
        <v>2</v>
      </c>
      <c r="D12" s="10">
        <f>COUNTIFS(Resp3[Vínculo],"docente",Resp3[3.03],B12)</f>
        <v>0</v>
      </c>
      <c r="E12" s="10">
        <f>COUNTIF(Resp3[3.03],B12)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170</v>
      </c>
      <c r="C18" s="22" t="s">
        <v>171</v>
      </c>
      <c r="D18" s="7" t="s">
        <v>153</v>
      </c>
      <c r="E18" s="41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  <c r="F20" s="15"/>
      <c r="G20" s="10"/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  <c r="F21" s="15"/>
      <c r="G21" s="10"/>
    </row>
    <row r="22" spans="2:7">
      <c r="B22" s="32" t="s">
        <v>88</v>
      </c>
      <c r="C22" s="32" t="s">
        <v>87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151</v>
      </c>
      <c r="B3" s="10" t="str">
        <f>VLOOKUP(A$2, Eixo[], 4, FALSE)</f>
        <v>Eixo3: Questão 4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COUNTIFS(Resp3[Vínculo],"tecnico",Resp3[3.04],B7)</f>
        <v>0</v>
      </c>
      <c r="D7" s="10">
        <f>COUNTIFS(Resp3[Vínculo],"docente",Resp3[3.04],B7)</f>
        <v>0</v>
      </c>
      <c r="E7" s="10">
        <f>COUNTIF(Resp3[3.04],B7)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COUNTIFS(Resp3[Vínculo],"tecnico",Resp3[3.04],B9)</f>
        <v>0</v>
      </c>
      <c r="D9" s="10">
        <f>COUNTIFS(Resp3[Vínculo],"docente",Resp3[3.04],B9)</f>
        <v>0</v>
      </c>
      <c r="E9" s="10">
        <f>COUNTIF(Resp3[3.04],B9)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COUNTIFS(Resp3[Vínculo],"tecnico",Resp3[3.04],B10)</f>
        <v>0</v>
      </c>
      <c r="D10" s="10">
        <f>COUNTIFS(Resp3[Vínculo],"docente",Resp3[3.04],B10)</f>
        <v>0</v>
      </c>
      <c r="E10" s="10">
        <f>COUNTIF(Resp3[3.04],B10)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COUNTIFS(Resp3[Vínculo],"tecnico",Resp3[3.04],B11)</f>
        <v>1</v>
      </c>
      <c r="D11" s="10">
        <f>COUNTIFS(Resp3[Vínculo],"docente",Resp3[3.04],B11)</f>
        <v>0</v>
      </c>
      <c r="E11" s="10">
        <f>COUNTIF(Resp3[3.04],B11)</f>
        <v>1</v>
      </c>
      <c r="F11" s="25">
        <f t="shared" si="0"/>
        <v>50</v>
      </c>
      <c r="G11" s="25">
        <f t="shared" si="1"/>
        <v>50</v>
      </c>
    </row>
    <row r="12" spans="1:7">
      <c r="B12" s="26" t="s">
        <v>13</v>
      </c>
      <c r="C12" s="10">
        <f>COUNTIFS(Resp3[Vínculo],"tecnico",Resp3[3.04],B12)</f>
        <v>1</v>
      </c>
      <c r="D12" s="10">
        <f>COUNTIFS(Resp3[Vínculo],"docente",Resp3[3.04],B12)</f>
        <v>0</v>
      </c>
      <c r="E12" s="10">
        <f>COUNTIF(Resp3[3.04],B12)</f>
        <v>1</v>
      </c>
      <c r="F12" s="100">
        <f t="shared" si="0"/>
        <v>50</v>
      </c>
      <c r="G12" s="25">
        <f t="shared" si="1"/>
        <v>50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170</v>
      </c>
      <c r="C18" s="26" t="s">
        <v>171</v>
      </c>
      <c r="D18" s="48" t="s">
        <v>153</v>
      </c>
      <c r="E18" s="49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151</v>
      </c>
      <c r="B3" s="10" t="str">
        <f>VLOOKUP(A$2, Eixo[], 4, FALSE)</f>
        <v>Eixo3: Questão 5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COUNTIFS(Resp3[Vínculo],"tecnico",Resp3[3.05],B7)</f>
        <v>0</v>
      </c>
      <c r="D7" s="10">
        <f>COUNTIFS(Resp3[Vínculo],"docente",Resp3[3.05],B7)</f>
        <v>0</v>
      </c>
      <c r="E7" s="10">
        <f>COUNTIF(Resp3[3.05],B7)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COUNTIFS(Resp3[Vínculo],"tecnico",Resp3[3.05],B10)</f>
        <v>0</v>
      </c>
      <c r="D10" s="10">
        <f>COUNTIFS(Resp3[Vínculo],"docente",Resp3[3.05],B10)</f>
        <v>0</v>
      </c>
      <c r="E10" s="10">
        <f>COUNTIF(Resp3[3.05],B10)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COUNTIFS(Resp3[Vínculo],"tecnico",Resp3[3.05],B11)</f>
        <v>0</v>
      </c>
      <c r="D11" s="10">
        <f>COUNTIFS(Resp3[Vínculo],"docente",Resp3[3.05],B11)</f>
        <v>0</v>
      </c>
      <c r="E11" s="10">
        <f>COUNTIF(Resp3[3.05],B11)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COUNTIFS(Resp3[Vínculo],"tecnico",Resp3[3.05],B12)</f>
        <v>2</v>
      </c>
      <c r="D12" s="10">
        <f>COUNTIFS(Resp3[Vínculo],"docente",Resp3[3.05],B12)</f>
        <v>0</v>
      </c>
      <c r="E12" s="10">
        <f>COUNTIF(Resp3[3.05],B12)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170</v>
      </c>
      <c r="C18" s="22" t="s">
        <v>171</v>
      </c>
      <c r="D18" s="7" t="s">
        <v>153</v>
      </c>
      <c r="E18" s="8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</row>
    <row r="22" spans="2:7">
      <c r="B22" s="51" t="s">
        <v>88</v>
      </c>
      <c r="C22" s="51" t="s">
        <v>87</v>
      </c>
      <c r="D22" s="15">
        <f>SUM(C11:C12)</f>
        <v>2</v>
      </c>
      <c r="E22" s="44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19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151</v>
      </c>
      <c r="B3" s="10" t="str">
        <f>VLOOKUP(A$2, Eixo[], 4, FALSE)</f>
        <v>Eixo3: Questão 6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COUNTIFS(Resp3[Vínculo],"tecnico",Resp3[3.06],B7)</f>
        <v>0</v>
      </c>
      <c r="D7" s="10">
        <f>COUNTIFS(Resp3[Vínculo],"docente",Resp3[3.06],B7)</f>
        <v>0</v>
      </c>
      <c r="E7" s="10">
        <f>COUNTIF(Resp3[3.06],B7)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COUNTIFS(Resp3[Vínculo],"tecnico",Resp3[3.06],B10)</f>
        <v>0</v>
      </c>
      <c r="D10" s="10">
        <f>COUNTIFS(Resp3[Vínculo],"docente",Resp3[3.06],B10)</f>
        <v>0</v>
      </c>
      <c r="E10" s="10">
        <f>COUNTIF(Resp3[3.06],B10)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COUNTIFS(Resp3[Vínculo],"tecnico",Resp3[3.06],B11)</f>
        <v>0</v>
      </c>
      <c r="D11" s="10">
        <f>COUNTIFS(Resp3[Vínculo],"docente",Resp3[3.06],B11)</f>
        <v>0</v>
      </c>
      <c r="E11" s="10">
        <f>COUNTIF(Resp3[3.06],B11)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COUNTIFS(Resp3[Vínculo],"tecnico",Resp3[3.06],B12)</f>
        <v>2</v>
      </c>
      <c r="D12" s="10">
        <f>COUNTIFS(Resp3[Vínculo],"docente",Resp3[3.06],B12)</f>
        <v>0</v>
      </c>
      <c r="E12" s="10">
        <f>COUNTIF(Resp3[3.06],B12)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170</v>
      </c>
      <c r="C18" s="22" t="s">
        <v>171</v>
      </c>
      <c r="D18" s="7" t="s">
        <v>153</v>
      </c>
      <c r="E18" s="8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151</v>
      </c>
      <c r="B3" s="10" t="str">
        <f>VLOOKUP(A$2, Eixo[], 4, FALSE)</f>
        <v>Eixo3: Questão 7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COUNTIFS(Resp3[Vínculo],"tecnico",Resp3[3.07],B7)</f>
        <v>0</v>
      </c>
      <c r="D7" s="10">
        <f>COUNTIFS(Resp3[Vínculo],"docente",Resp3[3.07],B7)</f>
        <v>0</v>
      </c>
      <c r="E7" s="10">
        <f>COUNTIF(Resp3[3.07],B7)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COUNTIFS(Resp3[Vínculo],"tecnico",Resp3[3.07],B9)</f>
        <v>0</v>
      </c>
      <c r="D9" s="10">
        <f>COUNTIFS(Resp3[Vínculo],"docente",Resp3[3.07],B9)</f>
        <v>0</v>
      </c>
      <c r="E9" s="10">
        <f>COUNTIF(Resp3[3.07],B9)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COUNTIFS(Resp3[Vínculo],"tecnico",Resp3[3.07],B10)</f>
        <v>0</v>
      </c>
      <c r="D10" s="10">
        <f>COUNTIFS(Resp3[Vínculo],"docente",Resp3[3.07],B10)</f>
        <v>0</v>
      </c>
      <c r="E10" s="10">
        <f>COUNTIF(Resp3[3.07],B10)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COUNTIFS(Resp3[Vínculo],"tecnico",Resp3[3.07],B11)</f>
        <v>0</v>
      </c>
      <c r="D11" s="10">
        <f>COUNTIFS(Resp3[Vínculo],"docente",Resp3[3.07],B11)</f>
        <v>0</v>
      </c>
      <c r="E11" s="10">
        <f>COUNTIF(Resp3[3.07],B11)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COUNTIFS(Resp3[Vínculo],"tecnico",Resp3[3.07],B12)</f>
        <v>2</v>
      </c>
      <c r="D12" s="10">
        <f>COUNTIFS(Resp3[Vínculo],"docente",Resp3[3.07],B12)</f>
        <v>0</v>
      </c>
      <c r="E12" s="10">
        <f>COUNTIF(Resp3[3.07],B12)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170</v>
      </c>
      <c r="C18" s="26" t="s">
        <v>171</v>
      </c>
      <c r="D18" s="48" t="s">
        <v>153</v>
      </c>
      <c r="E18" s="50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151</v>
      </c>
      <c r="B3" s="10" t="str">
        <f>VLOOKUP(A$2, Eixo[], 4, FALSE)</f>
        <v>Eixo3: Questão 8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COUNTIFS(Resp3[Vínculo],"tecnico",Resp3[3.08],B7)</f>
        <v>0</v>
      </c>
      <c r="D7" s="10">
        <f>COUNTIFS(Resp3[Vínculo],"docente",Resp3[3.08],B7)</f>
        <v>0</v>
      </c>
      <c r="E7" s="10">
        <f>COUNTIF(Resp3[3.08],B7)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COUNTIFS(Resp3[Vínculo],"tecnico",Resp3[3.08],B10)</f>
        <v>0</v>
      </c>
      <c r="D10" s="10">
        <f>COUNTIFS(Resp3[Vínculo],"docente",Resp3[3.08],B10)</f>
        <v>0</v>
      </c>
      <c r="E10" s="10">
        <f>COUNTIF(Resp3[3.08],B10)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COUNTIFS(Resp3[Vínculo],"tecnico",Resp3[3.08],B11)</f>
        <v>0</v>
      </c>
      <c r="D11" s="10">
        <f>COUNTIFS(Resp3[Vínculo],"docente",Resp3[3.08],B11)</f>
        <v>0</v>
      </c>
      <c r="E11" s="10">
        <f>COUNTIF(Resp3[3.08],B11)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COUNTIFS(Resp3[Vínculo],"tecnico",Resp3[3.08],B12)</f>
        <v>2</v>
      </c>
      <c r="D12" s="10">
        <f>COUNTIFS(Resp3[Vínculo],"docente",Resp3[3.08],B12)</f>
        <v>0</v>
      </c>
      <c r="E12" s="10">
        <f>COUNTIF(Resp3[3.08],B12)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170</v>
      </c>
      <c r="C18" s="26" t="s">
        <v>171</v>
      </c>
      <c r="D18" s="48" t="s">
        <v>153</v>
      </c>
      <c r="E18" s="50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44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44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151</v>
      </c>
      <c r="B3" s="10" t="str">
        <f>VLOOKUP(A$2, Eixo[], 4, FALSE)</f>
        <v>Eixo3: Questão 9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COUNTIFS(Resp3[Vínculo],"tecnico",Resp3[3.09],B7)</f>
        <v>0</v>
      </c>
      <c r="D7" s="10">
        <f>COUNTIFS(Resp3[Vínculo],"docente",Resp3[3.09],B7)</f>
        <v>0</v>
      </c>
      <c r="E7" s="10">
        <f>COUNTIF(Resp3[3.09],B7)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COUNTIFS(Resp3[Vínculo],"tecnico",Resp3[3.09],B10)</f>
        <v>0</v>
      </c>
      <c r="D10" s="10">
        <f>COUNTIFS(Resp3[Vínculo],"docente",Resp3[3.09],B10)</f>
        <v>0</v>
      </c>
      <c r="E10" s="10">
        <f>COUNTIF(Resp3[3.09],B10)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COUNTIFS(Resp3[Vínculo],"tecnico",Resp3[3.09],B11)</f>
        <v>0</v>
      </c>
      <c r="D11" s="10">
        <f>COUNTIFS(Resp3[Vínculo],"docente",Resp3[3.09],B11)</f>
        <v>0</v>
      </c>
      <c r="E11" s="10">
        <f>COUNTIF(Resp3[3.09],B11)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COUNTIFS(Resp3[Vínculo],"tecnico",Resp3[3.09],B12)</f>
        <v>2</v>
      </c>
      <c r="D12" s="10">
        <f>COUNTIFS(Resp3[Vínculo],"docente",Resp3[3.09],B12)</f>
        <v>0</v>
      </c>
      <c r="E12" s="10">
        <f>COUNTIF(Resp3[3.09],B12)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170</v>
      </c>
      <c r="C18" s="22" t="s">
        <v>171</v>
      </c>
      <c r="D18" s="7" t="s">
        <v>153</v>
      </c>
      <c r="E18" s="35" t="s">
        <v>156</v>
      </c>
      <c r="F18" s="15"/>
      <c r="G18" s="10"/>
    </row>
    <row r="19" spans="2:7">
      <c r="B19" s="29" t="s">
        <v>77</v>
      </c>
      <c r="C19" s="29" t="s">
        <v>76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179</v>
      </c>
      <c r="C20" s="30" t="s">
        <v>69</v>
      </c>
      <c r="D20" s="15">
        <f>C7</f>
        <v>0</v>
      </c>
      <c r="E20" s="10">
        <f>ROUND(D20/SUM(D$19:D$22)*100,3)</f>
        <v>0</v>
      </c>
    </row>
    <row r="21" spans="2:7">
      <c r="B21" s="31" t="s">
        <v>82</v>
      </c>
      <c r="C21" s="31" t="s">
        <v>81</v>
      </c>
      <c r="D21" s="15">
        <f>C10</f>
        <v>0</v>
      </c>
      <c r="E21" s="10">
        <f>ROUND(D21/SUM(D$19:D$22)*100,3)</f>
        <v>0</v>
      </c>
    </row>
    <row r="22" spans="2:7">
      <c r="B22" s="32" t="s">
        <v>88</v>
      </c>
      <c r="C22" s="32" t="s">
        <v>87</v>
      </c>
      <c r="D22" s="33">
        <f>SUM(C11:C12)</f>
        <v>2</v>
      </c>
      <c r="E22" s="34">
        <f>ROUND(D22/SUM(D$19:D$22)*100,3)</f>
        <v>100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151</v>
      </c>
      <c r="B3" s="10" t="str">
        <f>VLOOKUP(A$2, Eixo[], 4, FALSE)</f>
        <v>Eixo3: Questão 10</v>
      </c>
      <c r="C3" s="10"/>
      <c r="D3" s="10"/>
    </row>
    <row r="5" spans="1:7">
      <c r="B5" s="7" t="s">
        <v>152</v>
      </c>
      <c r="C5" s="7" t="s">
        <v>153</v>
      </c>
      <c r="D5" s="7" t="s">
        <v>154</v>
      </c>
      <c r="E5" s="7" t="s">
        <v>155</v>
      </c>
      <c r="F5" s="8" t="s">
        <v>156</v>
      </c>
      <c r="G5" s="8" t="s">
        <v>157</v>
      </c>
    </row>
    <row r="6" spans="1:7">
      <c r="B6" s="9" t="s">
        <v>158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159</v>
      </c>
      <c r="C7" s="10">
        <f>COUNTIFS(Resp3[Vínculo],"tecnico",Resp3[3.10],B7)</f>
        <v>0</v>
      </c>
      <c r="D7" s="10">
        <f>COUNTIFS(Resp3[Vínculo],"docente",Resp3[3.10],B7)</f>
        <v>0</v>
      </c>
      <c r="E7" s="10">
        <f>COUNTIF(Resp3[3.10],B7)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160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178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82</v>
      </c>
      <c r="C10" s="10">
        <f>COUNTIFS(Resp3[Vínculo],"tecnico",Resp3[3.10],B10)</f>
        <v>0</v>
      </c>
      <c r="D10" s="10">
        <f>COUNTIFS(Resp3[Vínculo],"docente",Resp3[3.10],B10)</f>
        <v>0</v>
      </c>
      <c r="E10" s="10">
        <f>COUNTIF(Resp3[3.10],B10)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24</v>
      </c>
      <c r="C11" s="10">
        <f>COUNTIFS(Resp3[Vínculo],"tecnico",Resp3[3.10],B11)</f>
        <v>0</v>
      </c>
      <c r="D11" s="10">
        <f>COUNTIFS(Resp3[Vínculo],"docente",Resp3[3.10],B11)</f>
        <v>0</v>
      </c>
      <c r="E11" s="10">
        <f>COUNTIF(Resp3[3.10],B11)</f>
        <v>0</v>
      </c>
      <c r="F11" s="25">
        <f t="shared" si="0"/>
        <v>0</v>
      </c>
      <c r="G11" s="25">
        <f t="shared" si="1"/>
        <v>0</v>
      </c>
    </row>
    <row r="12" spans="1:7">
      <c r="B12" s="26" t="s">
        <v>13</v>
      </c>
      <c r="C12" s="10">
        <f>COUNTIFS(Resp3[Vínculo],"tecnico",Resp3[3.10],B12)</f>
        <v>2</v>
      </c>
      <c r="D12" s="10">
        <f>COUNTIFS(Resp3[Vínculo],"docente",Resp3[3.10],B12)</f>
        <v>0</v>
      </c>
      <c r="E12" s="10">
        <f>COUNTIF(Resp3[3.10],B12)</f>
        <v>2</v>
      </c>
      <c r="F12" s="100">
        <f t="shared" si="0"/>
        <v>100</v>
      </c>
      <c r="G12" s="25">
        <f t="shared" si="1"/>
        <v>100</v>
      </c>
    </row>
    <row r="13" spans="1:7">
      <c r="B13" s="27" t="s">
        <v>161</v>
      </c>
      <c r="C13" s="11">
        <f>SUM(C6:C12)</f>
        <v>2</v>
      </c>
      <c r="D13" s="11">
        <f>SUM(D6:D12)</f>
        <v>0</v>
      </c>
      <c r="E13" s="11">
        <f>SUM(C13:D13)</f>
        <v>2</v>
      </c>
      <c r="F13" s="103">
        <f t="shared" si="0"/>
        <v>100</v>
      </c>
      <c r="G13" s="105">
        <f>SUM(G7:G12)</f>
        <v>100</v>
      </c>
    </row>
    <row r="18" spans="2:5">
      <c r="B18" s="22" t="s">
        <v>170</v>
      </c>
      <c r="C18" s="22" t="s">
        <v>171</v>
      </c>
      <c r="D18" s="7" t="s">
        <v>153</v>
      </c>
      <c r="E18" s="35" t="s">
        <v>156</v>
      </c>
    </row>
    <row r="19" spans="2:5">
      <c r="B19" s="29" t="s">
        <v>77</v>
      </c>
      <c r="C19" s="29" t="s">
        <v>76</v>
      </c>
      <c r="D19" s="15">
        <f>SUM(C8:C9)</f>
        <v>0</v>
      </c>
      <c r="E19" s="12">
        <f>ROUND(D19/SUM(D$19:D$22)*100,3)</f>
        <v>0</v>
      </c>
    </row>
    <row r="20" spans="2:5">
      <c r="B20" s="30" t="s">
        <v>179</v>
      </c>
      <c r="C20" s="30" t="s">
        <v>69</v>
      </c>
      <c r="D20" s="15">
        <f>C7</f>
        <v>0</v>
      </c>
      <c r="E20" s="10">
        <f>ROUND(D20/SUM(D$19:D$22)*100,3)</f>
        <v>0</v>
      </c>
    </row>
    <row r="21" spans="2:5">
      <c r="B21" s="31" t="s">
        <v>82</v>
      </c>
      <c r="C21" s="31" t="s">
        <v>81</v>
      </c>
      <c r="D21" s="15">
        <f>C10</f>
        <v>0</v>
      </c>
      <c r="E21" s="10">
        <f>ROUND(D21/SUM(D$19:D$22)*100,3)</f>
        <v>0</v>
      </c>
    </row>
    <row r="22" spans="2:5">
      <c r="B22" s="32" t="s">
        <v>88</v>
      </c>
      <c r="C22" s="32" t="s">
        <v>87</v>
      </c>
      <c r="D22" s="33">
        <f>SUM(C11:C12)</f>
        <v>2</v>
      </c>
      <c r="E22" s="34">
        <f>ROUND(D22/SUM(D$19:D$22)*100,3)</f>
        <v>100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2022-01-14T16:59:44Z</dcterms:modified>
  <cp:category/>
  <cp:contentStatus/>
</cp:coreProperties>
</file>