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5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8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05"/>
  <workbookPr/>
  <xr:revisionPtr revIDLastSave="7" documentId="11_56395F514FDE7347BD811039CBBCEA159629F6CF" xr6:coauthVersionLast="47" xr6:coauthVersionMax="47" xr10:uidLastSave="{CDAF7377-1296-4384-810B-5B17B10BB861}"/>
  <bookViews>
    <workbookView xWindow="-120" yWindow="-120" windowWidth="20730" windowHeight="11160" tabRatio="947" firstSheet="2" activeTab="2" xr2:uid="{00000000-000D-0000-FFFF-FFFF00000000}"/>
  </bookViews>
  <sheets>
    <sheet name="Eixo 2" sheetId="1" r:id="rId1"/>
    <sheet name="Eixo 3" sheetId="2" r:id="rId2"/>
    <sheet name="OrientaçõesInformações" sheetId="28" r:id="rId3"/>
    <sheet name="TítuloQuestões" sheetId="3" r:id="rId4"/>
    <sheet name="QTA" sheetId="12" state="hidden" r:id="rId5"/>
    <sheet name="QTB" sheetId="15" state="hidden" r:id="rId6"/>
    <sheet name="Q2.01" sheetId="5" r:id="rId7"/>
    <sheet name="Q2.02" sheetId="7" r:id="rId8"/>
    <sheet name="Q2.03" sheetId="10" r:id="rId9"/>
    <sheet name="Q2.06" sheetId="11" r:id="rId10"/>
    <sheet name="Q2.07" sheetId="13" r:id="rId11"/>
    <sheet name="Q2.08" sheetId="14" r:id="rId12"/>
    <sheet name="Q3.01" sheetId="16" r:id="rId13"/>
    <sheet name="Q3.02" sheetId="17" r:id="rId14"/>
    <sheet name="Q3.03" sheetId="18" r:id="rId15"/>
    <sheet name="Q3.04" sheetId="19" r:id="rId16"/>
    <sheet name="Q3.05" sheetId="20" r:id="rId17"/>
    <sheet name="Q3.06" sheetId="21" r:id="rId18"/>
    <sheet name="Q3.07" sheetId="22" r:id="rId19"/>
    <sheet name="Q3.08" sheetId="23" r:id="rId20"/>
    <sheet name="Q3.09" sheetId="24" r:id="rId21"/>
    <sheet name="Q3.10" sheetId="25" r:id="rId2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8" l="1"/>
  <c r="C26" i="28"/>
  <c r="C7" i="5"/>
  <c r="D8" i="10"/>
  <c r="D27" i="28"/>
  <c r="F26" i="28" l="1"/>
  <c r="C8" i="7"/>
  <c r="D25" i="7" s="1"/>
  <c r="E26" i="28"/>
  <c r="B27" i="28" l="1"/>
  <c r="E27" i="28" s="1"/>
  <c r="C27" i="28"/>
  <c r="F27" i="28" s="1"/>
  <c r="E7" i="10" l="1"/>
  <c r="C7" i="10"/>
  <c r="E7" i="11"/>
  <c r="C7" i="11"/>
  <c r="D19" i="11" s="1"/>
  <c r="E7" i="16"/>
  <c r="C7" i="16"/>
  <c r="D20" i="16" s="1"/>
  <c r="C8" i="10"/>
  <c r="C7" i="7"/>
  <c r="E7" i="5"/>
  <c r="D7" i="5"/>
  <c r="D28" i="5"/>
  <c r="C9" i="5"/>
  <c r="D25" i="5" s="1"/>
  <c r="D7" i="7"/>
  <c r="C9" i="25"/>
  <c r="D9" i="25"/>
  <c r="E9" i="25"/>
  <c r="C9" i="24"/>
  <c r="D9" i="24"/>
  <c r="E9" i="24"/>
  <c r="C9" i="23"/>
  <c r="D9" i="23"/>
  <c r="E9" i="23"/>
  <c r="C9" i="22"/>
  <c r="D9" i="22"/>
  <c r="E9" i="22"/>
  <c r="C9" i="21"/>
  <c r="D9" i="21"/>
  <c r="E9" i="21"/>
  <c r="C9" i="20"/>
  <c r="D9" i="20"/>
  <c r="E9" i="20"/>
  <c r="C9" i="19"/>
  <c r="D9" i="19"/>
  <c r="E9" i="19"/>
  <c r="C9" i="18"/>
  <c r="D9" i="18"/>
  <c r="E9" i="18"/>
  <c r="C9" i="17"/>
  <c r="D9" i="17"/>
  <c r="E9" i="17"/>
  <c r="C9" i="14"/>
  <c r="D9" i="14"/>
  <c r="E9" i="14"/>
  <c r="C9" i="13"/>
  <c r="D9" i="13"/>
  <c r="E9" i="13"/>
  <c r="C9" i="11"/>
  <c r="D9" i="11"/>
  <c r="E9" i="11"/>
  <c r="D9" i="16"/>
  <c r="E9" i="16"/>
  <c r="C9" i="16"/>
  <c r="E8" i="25"/>
  <c r="E10" i="25"/>
  <c r="E11" i="25"/>
  <c r="E12" i="25"/>
  <c r="E7" i="25"/>
  <c r="D8" i="25"/>
  <c r="D10" i="25"/>
  <c r="D11" i="25"/>
  <c r="D12" i="25"/>
  <c r="D7" i="25"/>
  <c r="C8" i="25"/>
  <c r="D19" i="25" s="1"/>
  <c r="C10" i="25"/>
  <c r="D21" i="25" s="1"/>
  <c r="C11" i="25"/>
  <c r="C12" i="25"/>
  <c r="C7" i="25"/>
  <c r="D20" i="25" s="1"/>
  <c r="A2" i="25"/>
  <c r="E8" i="24"/>
  <c r="E10" i="24"/>
  <c r="E11" i="24"/>
  <c r="E12" i="24"/>
  <c r="E7" i="24"/>
  <c r="D8" i="24"/>
  <c r="D10" i="24"/>
  <c r="D11" i="24"/>
  <c r="D12" i="24"/>
  <c r="D7" i="24"/>
  <c r="C8" i="24"/>
  <c r="D19" i="24" s="1"/>
  <c r="C10" i="24"/>
  <c r="D21" i="24" s="1"/>
  <c r="C11" i="24"/>
  <c r="C12" i="24"/>
  <c r="C7" i="24"/>
  <c r="D20" i="24" s="1"/>
  <c r="A2" i="24"/>
  <c r="E8" i="23"/>
  <c r="E10" i="23"/>
  <c r="E11" i="23"/>
  <c r="E12" i="23"/>
  <c r="E7" i="23"/>
  <c r="D8" i="23"/>
  <c r="D10" i="23"/>
  <c r="D11" i="23"/>
  <c r="D12" i="23"/>
  <c r="D7" i="23"/>
  <c r="C8" i="23"/>
  <c r="C10" i="23"/>
  <c r="D21" i="23" s="1"/>
  <c r="C11" i="23"/>
  <c r="C12" i="23"/>
  <c r="C7" i="23"/>
  <c r="D20" i="23" s="1"/>
  <c r="A2" i="23"/>
  <c r="E8" i="22"/>
  <c r="E10" i="22"/>
  <c r="E11" i="22"/>
  <c r="E12" i="22"/>
  <c r="E7" i="22"/>
  <c r="D8" i="22"/>
  <c r="D10" i="22"/>
  <c r="D11" i="22"/>
  <c r="D12" i="22"/>
  <c r="D7" i="22"/>
  <c r="C8" i="22"/>
  <c r="D19" i="22" s="1"/>
  <c r="C10" i="22"/>
  <c r="D21" i="22" s="1"/>
  <c r="C11" i="22"/>
  <c r="C12" i="22"/>
  <c r="C7" i="22"/>
  <c r="D20" i="22" s="1"/>
  <c r="A2" i="22"/>
  <c r="E8" i="21"/>
  <c r="E10" i="21"/>
  <c r="E11" i="21"/>
  <c r="E12" i="21"/>
  <c r="E7" i="21"/>
  <c r="D8" i="21"/>
  <c r="D10" i="21"/>
  <c r="D11" i="21"/>
  <c r="D12" i="21"/>
  <c r="D7" i="21"/>
  <c r="C8" i="21"/>
  <c r="D19" i="21" s="1"/>
  <c r="C10" i="21"/>
  <c r="D21" i="21" s="1"/>
  <c r="C11" i="21"/>
  <c r="C12" i="21"/>
  <c r="C7" i="21"/>
  <c r="D20" i="21" s="1"/>
  <c r="A2" i="21"/>
  <c r="E8" i="20"/>
  <c r="E10" i="20"/>
  <c r="E11" i="20"/>
  <c r="E12" i="20"/>
  <c r="E7" i="20"/>
  <c r="D8" i="20"/>
  <c r="D10" i="20"/>
  <c r="D11" i="20"/>
  <c r="D12" i="20"/>
  <c r="D7" i="20"/>
  <c r="C8" i="20"/>
  <c r="D19" i="20" s="1"/>
  <c r="C10" i="20"/>
  <c r="D21" i="20" s="1"/>
  <c r="C11" i="20"/>
  <c r="C12" i="20"/>
  <c r="C7" i="20"/>
  <c r="D20" i="20" s="1"/>
  <c r="A2" i="20"/>
  <c r="E8" i="19"/>
  <c r="E10" i="19"/>
  <c r="E11" i="19"/>
  <c r="E12" i="19"/>
  <c r="E7" i="19"/>
  <c r="D8" i="19"/>
  <c r="D10" i="19"/>
  <c r="D11" i="19"/>
  <c r="D12" i="19"/>
  <c r="D7" i="19"/>
  <c r="C8" i="19"/>
  <c r="C10" i="19"/>
  <c r="D21" i="19" s="1"/>
  <c r="C11" i="19"/>
  <c r="C12" i="19"/>
  <c r="C7" i="19"/>
  <c r="D20" i="19" s="1"/>
  <c r="A2" i="19"/>
  <c r="E8" i="18"/>
  <c r="E10" i="18"/>
  <c r="E11" i="18"/>
  <c r="E12" i="18"/>
  <c r="E7" i="18"/>
  <c r="D8" i="18"/>
  <c r="D10" i="18"/>
  <c r="D11" i="18"/>
  <c r="D12" i="18"/>
  <c r="D7" i="18"/>
  <c r="C8" i="18"/>
  <c r="D19" i="18" s="1"/>
  <c r="C10" i="18"/>
  <c r="D21" i="18" s="1"/>
  <c r="C11" i="18"/>
  <c r="C12" i="18"/>
  <c r="C7" i="18"/>
  <c r="D20" i="18" s="1"/>
  <c r="A2" i="18"/>
  <c r="E8" i="17"/>
  <c r="E10" i="17"/>
  <c r="E11" i="17"/>
  <c r="E12" i="17"/>
  <c r="E7" i="17"/>
  <c r="D8" i="17"/>
  <c r="D10" i="17"/>
  <c r="D11" i="17"/>
  <c r="D12" i="17"/>
  <c r="D7" i="17"/>
  <c r="C8" i="17"/>
  <c r="D19" i="17" s="1"/>
  <c r="C10" i="17"/>
  <c r="D21" i="17" s="1"/>
  <c r="C11" i="17"/>
  <c r="C12" i="17"/>
  <c r="C7" i="17"/>
  <c r="D20" i="17" s="1"/>
  <c r="A2" i="17"/>
  <c r="B3" i="17" s="1"/>
  <c r="E12" i="16"/>
  <c r="D12" i="16"/>
  <c r="C12" i="16"/>
  <c r="E11" i="16"/>
  <c r="D11" i="16"/>
  <c r="C11" i="16"/>
  <c r="E10" i="16"/>
  <c r="D10" i="16"/>
  <c r="C10" i="16"/>
  <c r="D21" i="16" s="1"/>
  <c r="E8" i="16"/>
  <c r="D8" i="16"/>
  <c r="C8" i="16"/>
  <c r="D19" i="16" s="1"/>
  <c r="D7" i="16"/>
  <c r="A2" i="16"/>
  <c r="E8" i="15"/>
  <c r="F8" i="15" s="1"/>
  <c r="E9" i="15"/>
  <c r="F9" i="15" s="1"/>
  <c r="E10" i="15"/>
  <c r="F10" i="15" s="1"/>
  <c r="E11" i="15"/>
  <c r="F11" i="15" s="1"/>
  <c r="E7" i="15"/>
  <c r="D8" i="15"/>
  <c r="D9" i="15"/>
  <c r="D10" i="15"/>
  <c r="D11" i="15"/>
  <c r="D7" i="15"/>
  <c r="C8" i="15"/>
  <c r="C9" i="15"/>
  <c r="C10" i="15"/>
  <c r="C11" i="15"/>
  <c r="C7" i="15"/>
  <c r="A2" i="15"/>
  <c r="E8" i="14"/>
  <c r="E10" i="14"/>
  <c r="E11" i="14"/>
  <c r="E12" i="14"/>
  <c r="E7" i="14"/>
  <c r="D8" i="14"/>
  <c r="D10" i="14"/>
  <c r="D11" i="14"/>
  <c r="D12" i="14"/>
  <c r="D7" i="14"/>
  <c r="C8" i="14"/>
  <c r="C10" i="14"/>
  <c r="D20" i="14" s="1"/>
  <c r="C11" i="14"/>
  <c r="C12" i="14"/>
  <c r="C7" i="14"/>
  <c r="D19" i="14" s="1"/>
  <c r="A2" i="14"/>
  <c r="E8" i="13"/>
  <c r="E10" i="13"/>
  <c r="E11" i="13"/>
  <c r="E12" i="13"/>
  <c r="E7" i="13"/>
  <c r="D8" i="13"/>
  <c r="D10" i="13"/>
  <c r="D11" i="13"/>
  <c r="D12" i="13"/>
  <c r="D7" i="13"/>
  <c r="C8" i="13"/>
  <c r="C10" i="13"/>
  <c r="D20" i="13" s="1"/>
  <c r="C11" i="13"/>
  <c r="C12" i="13"/>
  <c r="C7" i="13"/>
  <c r="D19" i="13" s="1"/>
  <c r="A2" i="13"/>
  <c r="E11" i="12"/>
  <c r="D11" i="12"/>
  <c r="C11" i="12"/>
  <c r="E10" i="12"/>
  <c r="D10" i="12"/>
  <c r="C10" i="12"/>
  <c r="E9" i="12"/>
  <c r="D9" i="12"/>
  <c r="C9" i="12"/>
  <c r="E8" i="12"/>
  <c r="D8" i="12"/>
  <c r="C8" i="12"/>
  <c r="E7" i="12"/>
  <c r="D7" i="12"/>
  <c r="C7" i="12"/>
  <c r="A2" i="12"/>
  <c r="D8" i="11"/>
  <c r="D10" i="11"/>
  <c r="D11" i="11"/>
  <c r="D12" i="11"/>
  <c r="D7" i="11"/>
  <c r="D7" i="10"/>
  <c r="C8" i="11"/>
  <c r="D18" i="11" s="1"/>
  <c r="C10" i="11"/>
  <c r="D20" i="11" s="1"/>
  <c r="C11" i="11"/>
  <c r="C12" i="11"/>
  <c r="D8" i="7"/>
  <c r="E8" i="7"/>
  <c r="E7" i="7"/>
  <c r="A2" i="7"/>
  <c r="C8" i="5"/>
  <c r="D27" i="5" s="1"/>
  <c r="D8" i="5"/>
  <c r="D9" i="5"/>
  <c r="E8" i="5"/>
  <c r="E9" i="5"/>
  <c r="E8" i="11"/>
  <c r="E10" i="11"/>
  <c r="E11" i="11"/>
  <c r="E12" i="11"/>
  <c r="A2" i="11"/>
  <c r="B2" i="11" s="1"/>
  <c r="E8" i="10"/>
  <c r="A2" i="10"/>
  <c r="A2" i="5"/>
  <c r="D22" i="7" l="1"/>
  <c r="D19" i="19"/>
  <c r="G7" i="25"/>
  <c r="D18" i="14"/>
  <c r="G7" i="7"/>
  <c r="G7" i="11"/>
  <c r="D6" i="10"/>
  <c r="D9" i="10" s="1"/>
  <c r="D6" i="5"/>
  <c r="D19" i="23"/>
  <c r="D18" i="13"/>
  <c r="G9" i="5"/>
  <c r="C6" i="13"/>
  <c r="C6" i="14"/>
  <c r="E6" i="12"/>
  <c r="F6" i="12" s="1"/>
  <c r="D6" i="7"/>
  <c r="C6" i="11"/>
  <c r="D6" i="11"/>
  <c r="D6" i="12"/>
  <c r="D12" i="12" s="1"/>
  <c r="D6" i="13"/>
  <c r="D13" i="13" s="1"/>
  <c r="D6" i="14"/>
  <c r="C6" i="5"/>
  <c r="C6" i="7"/>
  <c r="C6" i="10"/>
  <c r="C9" i="10" s="1"/>
  <c r="G8" i="5"/>
  <c r="C6" i="12"/>
  <c r="C12" i="12" s="1"/>
  <c r="G7" i="5"/>
  <c r="G9" i="14"/>
  <c r="G9" i="13"/>
  <c r="D6" i="25"/>
  <c r="G9" i="22"/>
  <c r="D6" i="15"/>
  <c r="D12" i="15" s="1"/>
  <c r="G9" i="19"/>
  <c r="D6" i="21"/>
  <c r="C6" i="24"/>
  <c r="C13" i="24" s="1"/>
  <c r="D22" i="16"/>
  <c r="C6" i="18"/>
  <c r="C13" i="18" s="1"/>
  <c r="C6" i="15"/>
  <c r="C12" i="15" s="1"/>
  <c r="D6" i="16"/>
  <c r="D6" i="17"/>
  <c r="G9" i="18"/>
  <c r="D6" i="20"/>
  <c r="C6" i="22"/>
  <c r="C13" i="22" s="1"/>
  <c r="D6" i="23"/>
  <c r="D13" i="23" s="1"/>
  <c r="G9" i="24"/>
  <c r="G9" i="17"/>
  <c r="D6" i="19"/>
  <c r="G9" i="20"/>
  <c r="D6" i="22"/>
  <c r="G9" i="23"/>
  <c r="C6" i="25"/>
  <c r="C13" i="25" s="1"/>
  <c r="C6" i="17"/>
  <c r="C13" i="17" s="1"/>
  <c r="D6" i="18"/>
  <c r="C6" i="20"/>
  <c r="C13" i="20" s="1"/>
  <c r="G9" i="21"/>
  <c r="C6" i="23"/>
  <c r="C13" i="23" s="1"/>
  <c r="E13" i="23" s="1"/>
  <c r="D6" i="24"/>
  <c r="C6" i="19"/>
  <c r="C13" i="19" s="1"/>
  <c r="C6" i="21"/>
  <c r="C13" i="21" s="1"/>
  <c r="D22" i="21"/>
  <c r="C6" i="16"/>
  <c r="G9" i="16"/>
  <c r="F7" i="15"/>
  <c r="E6" i="15"/>
  <c r="F6" i="15" s="1"/>
  <c r="D22" i="17"/>
  <c r="D22" i="18"/>
  <c r="D22" i="19"/>
  <c r="D22" i="20"/>
  <c r="D22" i="22"/>
  <c r="D22" i="23"/>
  <c r="D22" i="24"/>
  <c r="G9" i="25"/>
  <c r="D21" i="11"/>
  <c r="D21" i="13"/>
  <c r="D21" i="14"/>
  <c r="D22" i="25"/>
  <c r="G9" i="11"/>
  <c r="B3" i="25"/>
  <c r="B2" i="25"/>
  <c r="G8" i="25"/>
  <c r="G10" i="25"/>
  <c r="G11" i="25"/>
  <c r="G12" i="25"/>
  <c r="B3" i="24"/>
  <c r="B2" i="24"/>
  <c r="G7" i="24"/>
  <c r="G8" i="24"/>
  <c r="G10" i="24"/>
  <c r="G11" i="24"/>
  <c r="G12" i="24"/>
  <c r="B3" i="23"/>
  <c r="B2" i="23"/>
  <c r="G7" i="23"/>
  <c r="G8" i="23"/>
  <c r="G10" i="23"/>
  <c r="G11" i="23"/>
  <c r="G12" i="23"/>
  <c r="B3" i="22"/>
  <c r="B2" i="22"/>
  <c r="G7" i="22"/>
  <c r="G8" i="22"/>
  <c r="G10" i="22"/>
  <c r="G11" i="22"/>
  <c r="G12" i="22"/>
  <c r="B3" i="21"/>
  <c r="B2" i="21"/>
  <c r="G7" i="21"/>
  <c r="G8" i="21"/>
  <c r="G10" i="21"/>
  <c r="G11" i="21"/>
  <c r="G12" i="21"/>
  <c r="B3" i="20"/>
  <c r="B2" i="20"/>
  <c r="G7" i="20"/>
  <c r="G8" i="20"/>
  <c r="G10" i="20"/>
  <c r="G11" i="20"/>
  <c r="G12" i="20"/>
  <c r="B3" i="19"/>
  <c r="B2" i="19"/>
  <c r="G7" i="19"/>
  <c r="G8" i="19"/>
  <c r="G10" i="19"/>
  <c r="G11" i="19"/>
  <c r="G12" i="19"/>
  <c r="B3" i="18"/>
  <c r="B2" i="18"/>
  <c r="G7" i="18"/>
  <c r="G8" i="18"/>
  <c r="G10" i="18"/>
  <c r="G11" i="18"/>
  <c r="G12" i="18"/>
  <c r="B2" i="17"/>
  <c r="G7" i="17"/>
  <c r="G8" i="17"/>
  <c r="G10" i="17"/>
  <c r="G11" i="17"/>
  <c r="G12" i="17"/>
  <c r="B3" i="16"/>
  <c r="B2" i="16"/>
  <c r="G7" i="16"/>
  <c r="G8" i="16"/>
  <c r="G10" i="16"/>
  <c r="G11" i="16"/>
  <c r="G12" i="16"/>
  <c r="B3" i="15"/>
  <c r="B2" i="15"/>
  <c r="G7" i="15"/>
  <c r="G8" i="15"/>
  <c r="G9" i="15"/>
  <c r="G10" i="15"/>
  <c r="G11" i="15"/>
  <c r="B3" i="14"/>
  <c r="B2" i="14"/>
  <c r="G7" i="14"/>
  <c r="G8" i="14"/>
  <c r="G10" i="14"/>
  <c r="G11" i="14"/>
  <c r="G12" i="14"/>
  <c r="B3" i="13"/>
  <c r="B2" i="13"/>
  <c r="G7" i="13"/>
  <c r="G8" i="13"/>
  <c r="G10" i="13"/>
  <c r="G11" i="13"/>
  <c r="G12" i="13"/>
  <c r="B3" i="5"/>
  <c r="B2" i="5"/>
  <c r="B3" i="12"/>
  <c r="B2" i="12"/>
  <c r="G7" i="12"/>
  <c r="F7" i="12"/>
  <c r="G8" i="12"/>
  <c r="F8" i="12"/>
  <c r="G9" i="12"/>
  <c r="F9" i="12"/>
  <c r="G10" i="12"/>
  <c r="F10" i="12"/>
  <c r="G11" i="12"/>
  <c r="F11" i="12"/>
  <c r="B3" i="7"/>
  <c r="B2" i="7"/>
  <c r="G8" i="7"/>
  <c r="G7" i="10"/>
  <c r="G8" i="10"/>
  <c r="G12" i="11"/>
  <c r="G11" i="11"/>
  <c r="G10" i="11"/>
  <c r="G8" i="11"/>
  <c r="B3" i="11"/>
  <c r="B3" i="10"/>
  <c r="B2" i="10"/>
  <c r="E25" i="7" l="1"/>
  <c r="D26" i="7"/>
  <c r="E22" i="7"/>
  <c r="G9" i="7"/>
  <c r="G9" i="10"/>
  <c r="G10" i="5"/>
  <c r="G13" i="11"/>
  <c r="F13" i="23"/>
  <c r="E6" i="23"/>
  <c r="F6" i="23" s="1"/>
  <c r="F7" i="23"/>
  <c r="F12" i="23"/>
  <c r="F11" i="23"/>
  <c r="F10" i="23"/>
  <c r="F8" i="23"/>
  <c r="F9" i="23"/>
  <c r="E9" i="10"/>
  <c r="C10" i="5"/>
  <c r="D13" i="21"/>
  <c r="E13" i="21" s="1"/>
  <c r="D13" i="16"/>
  <c r="D13" i="25"/>
  <c r="E13" i="25" s="1"/>
  <c r="E6" i="25" s="1"/>
  <c r="C13" i="13"/>
  <c r="E13" i="13" s="1"/>
  <c r="E12" i="12"/>
  <c r="F12" i="12" s="1"/>
  <c r="C13" i="14"/>
  <c r="E19" i="14"/>
  <c r="D13" i="14"/>
  <c r="E18" i="13"/>
  <c r="E20" i="13"/>
  <c r="E21" i="14"/>
  <c r="E18" i="14"/>
  <c r="E19" i="13"/>
  <c r="E21" i="13"/>
  <c r="E20" i="14"/>
  <c r="C13" i="16"/>
  <c r="E12" i="15"/>
  <c r="F12" i="15" s="1"/>
  <c r="E20" i="16"/>
  <c r="E19" i="16"/>
  <c r="E22" i="16"/>
  <c r="E20" i="18"/>
  <c r="E22" i="23"/>
  <c r="E22" i="24"/>
  <c r="E20" i="21"/>
  <c r="E22" i="19"/>
  <c r="D13" i="18"/>
  <c r="E13" i="18" s="1"/>
  <c r="D13" i="22"/>
  <c r="E13" i="22" s="1"/>
  <c r="D13" i="20"/>
  <c r="E13" i="20" s="1"/>
  <c r="E21" i="16"/>
  <c r="E19" i="25"/>
  <c r="D13" i="24"/>
  <c r="E13" i="24" s="1"/>
  <c r="D13" i="19"/>
  <c r="E13" i="19" s="1"/>
  <c r="D13" i="17"/>
  <c r="E13" i="17" s="1"/>
  <c r="D13" i="11"/>
  <c r="G13" i="25"/>
  <c r="G13" i="24"/>
  <c r="G13" i="23"/>
  <c r="G13" i="22"/>
  <c r="G13" i="21"/>
  <c r="G13" i="20"/>
  <c r="G13" i="19"/>
  <c r="G13" i="18"/>
  <c r="G13" i="17"/>
  <c r="G13" i="16"/>
  <c r="G12" i="15"/>
  <c r="G13" i="14"/>
  <c r="G13" i="13"/>
  <c r="G12" i="12"/>
  <c r="F9" i="10" l="1"/>
  <c r="F8" i="10"/>
  <c r="E13" i="16"/>
  <c r="F13" i="17"/>
  <c r="E6" i="17"/>
  <c r="F6" i="17" s="1"/>
  <c r="F7" i="17"/>
  <c r="F12" i="17"/>
  <c r="F11" i="17"/>
  <c r="F10" i="17"/>
  <c r="F8" i="17"/>
  <c r="F9" i="17"/>
  <c r="F13" i="19"/>
  <c r="E6" i="19"/>
  <c r="F6" i="19" s="1"/>
  <c r="F7" i="19"/>
  <c r="F12" i="19"/>
  <c r="F11" i="19"/>
  <c r="F10" i="19"/>
  <c r="F8" i="19"/>
  <c r="F9" i="19"/>
  <c r="F13" i="24"/>
  <c r="E6" i="24"/>
  <c r="F6" i="24" s="1"/>
  <c r="F7" i="24"/>
  <c r="F12" i="24"/>
  <c r="F11" i="24"/>
  <c r="F10" i="24"/>
  <c r="F8" i="24"/>
  <c r="F9" i="24"/>
  <c r="F13" i="20"/>
  <c r="E6" i="20"/>
  <c r="F6" i="20" s="1"/>
  <c r="F7" i="20"/>
  <c r="F12" i="20"/>
  <c r="F11" i="20"/>
  <c r="F10" i="20"/>
  <c r="F8" i="20"/>
  <c r="F9" i="20"/>
  <c r="F13" i="22"/>
  <c r="E6" i="22"/>
  <c r="F6" i="22" s="1"/>
  <c r="F7" i="22"/>
  <c r="F12" i="22"/>
  <c r="F11" i="22"/>
  <c r="F10" i="22"/>
  <c r="F8" i="22"/>
  <c r="F9" i="22"/>
  <c r="F13" i="18"/>
  <c r="E6" i="18"/>
  <c r="F6" i="18" s="1"/>
  <c r="F7" i="18"/>
  <c r="F12" i="18"/>
  <c r="F11" i="18"/>
  <c r="F10" i="18"/>
  <c r="F8" i="18"/>
  <c r="F9" i="18"/>
  <c r="F13" i="16"/>
  <c r="E6" i="16"/>
  <c r="F6" i="16" s="1"/>
  <c r="F8" i="16"/>
  <c r="F10" i="16"/>
  <c r="F11" i="16"/>
  <c r="F12" i="16"/>
  <c r="F9" i="16"/>
  <c r="F7" i="16"/>
  <c r="F13" i="13"/>
  <c r="F7" i="13"/>
  <c r="F12" i="13"/>
  <c r="F11" i="13"/>
  <c r="F10" i="13"/>
  <c r="F8" i="13"/>
  <c r="F9" i="13"/>
  <c r="F13" i="25"/>
  <c r="F6" i="25"/>
  <c r="F7" i="25"/>
  <c r="F12" i="25"/>
  <c r="F11" i="25"/>
  <c r="F10" i="25"/>
  <c r="F8" i="25"/>
  <c r="F9" i="25"/>
  <c r="F13" i="21"/>
  <c r="E6" i="21"/>
  <c r="F6" i="21" s="1"/>
  <c r="F7" i="21"/>
  <c r="F12" i="21"/>
  <c r="F11" i="21"/>
  <c r="F10" i="21"/>
  <c r="F8" i="21"/>
  <c r="F9" i="21"/>
  <c r="E6" i="10"/>
  <c r="F6" i="10" s="1"/>
  <c r="F7" i="10"/>
  <c r="E6" i="13"/>
  <c r="F6" i="13" s="1"/>
  <c r="E13" i="14"/>
  <c r="E27" i="5"/>
  <c r="E25" i="5"/>
  <c r="E28" i="5"/>
  <c r="E19" i="18"/>
  <c r="E19" i="23"/>
  <c r="E20" i="24"/>
  <c r="E22" i="18"/>
  <c r="E21" i="18"/>
  <c r="E21" i="19"/>
  <c r="E19" i="19"/>
  <c r="E20" i="19"/>
  <c r="E20" i="17"/>
  <c r="E21" i="17"/>
  <c r="E19" i="17"/>
  <c r="E22" i="17"/>
  <c r="E19" i="21"/>
  <c r="E21" i="21"/>
  <c r="E22" i="21"/>
  <c r="E19" i="24"/>
  <c r="E21" i="24"/>
  <c r="E21" i="23"/>
  <c r="E20" i="23"/>
  <c r="E20" i="20"/>
  <c r="E21" i="20"/>
  <c r="E19" i="20"/>
  <c r="E22" i="20"/>
  <c r="E19" i="22"/>
  <c r="E20" i="22"/>
  <c r="E21" i="22"/>
  <c r="E20" i="25"/>
  <c r="E21" i="25"/>
  <c r="E22" i="25"/>
  <c r="E22" i="22"/>
  <c r="D9" i="7"/>
  <c r="F13" i="14" l="1"/>
  <c r="F7" i="14"/>
  <c r="F12" i="14"/>
  <c r="F11" i="14"/>
  <c r="F10" i="14"/>
  <c r="F8" i="14"/>
  <c r="F9" i="14"/>
  <c r="E6" i="14"/>
  <c r="F6" i="14" s="1"/>
  <c r="C9" i="7"/>
  <c r="E9" i="7" s="1"/>
  <c r="E19" i="11"/>
  <c r="C13" i="11"/>
  <c r="E13" i="11" s="1"/>
  <c r="F13" i="11" s="1"/>
  <c r="F7" i="7" l="1"/>
  <c r="F8" i="7"/>
  <c r="F12" i="11"/>
  <c r="F11" i="11"/>
  <c r="F10" i="11"/>
  <c r="F8" i="11"/>
  <c r="F9" i="11"/>
  <c r="F7" i="11"/>
  <c r="E6" i="11"/>
  <c r="F6" i="11" s="1"/>
  <c r="F9" i="7"/>
  <c r="E6" i="7"/>
  <c r="F6" i="7" s="1"/>
  <c r="E20" i="11"/>
  <c r="E18" i="11"/>
  <c r="E21" i="11"/>
  <c r="D10" i="5" l="1"/>
  <c r="E10" i="5" s="1"/>
  <c r="F7" i="5" s="1"/>
  <c r="F10" i="5" l="1"/>
  <c r="F9" i="5"/>
  <c r="F8" i="5"/>
  <c r="E6" i="5"/>
  <c r="F6" i="5" s="1"/>
</calcChain>
</file>

<file path=xl/sharedStrings.xml><?xml version="1.0" encoding="utf-8"?>
<sst xmlns="http://schemas.openxmlformats.org/spreadsheetml/2006/main" count="712" uniqueCount="180">
  <si>
    <t>Vínculo</t>
  </si>
  <si>
    <t>Setor</t>
  </si>
  <si>
    <t>2.01</t>
  </si>
  <si>
    <t>2.02</t>
  </si>
  <si>
    <t>2.03</t>
  </si>
  <si>
    <t>2.06</t>
  </si>
  <si>
    <t>2.07</t>
  </si>
  <si>
    <t>2.08</t>
  </si>
  <si>
    <t>tecnico</t>
  </si>
  <si>
    <t>INTEGRA</t>
  </si>
  <si>
    <t>Na minha unidade, participamos efetivamente da elaboração do planejamento interno e consideramos os resultados da Autoavaliação</t>
  </si>
  <si>
    <t>Não observo na minha unidade a atenção e a inserção dos resultados da Autoavaliação em ações de melhoria</t>
  </si>
  <si>
    <t>Sim</t>
  </si>
  <si>
    <t>Não sei responder</t>
  </si>
  <si>
    <t>Bom</t>
  </si>
  <si>
    <t>Na minha unidade, não temos conhecimento sobre os processos de Autoavaliação e as decisões para o planejamento interno são tomadas de forma autônoma</t>
  </si>
  <si>
    <t>Não</t>
  </si>
  <si>
    <t>Ruim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</si>
  <si>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</si>
  <si>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</si>
  <si>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</si>
  <si>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</si>
  <si>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</si>
  <si>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</si>
  <si>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</si>
  <si>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</si>
  <si>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</si>
  <si>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</si>
  <si>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Excelente</t>
  </si>
  <si>
    <t>Regular</t>
  </si>
  <si>
    <t>ORIENTAÇÕES DE ANÁLISE DE RESULTADO E INFORMAÇÕES GERAIS</t>
  </si>
  <si>
    <t>Os instrumentos de pesquisa da CPA são separados por Eixos. Para esta pesquisa, foram abordados seis Eixos e eles podem ser condicionais, isto é, nem todas as questões são obrigatórias, podendo haver variação na quantidade de respostas por Eixo e por Questões.</t>
  </si>
  <si>
    <t>Eixo 1</t>
  </si>
  <si>
    <t>Trabalho Remoto (questão aberta)</t>
  </si>
  <si>
    <t>Eixo 2</t>
  </si>
  <si>
    <t>Planejamento e Avaliação</t>
  </si>
  <si>
    <t>Eixo 3</t>
  </si>
  <si>
    <t>Missão e Plano de Desenvolvimento Institucional</t>
  </si>
  <si>
    <t>Eixo 4</t>
  </si>
  <si>
    <t>Políticas de Ensino, Pesquisa e Extensão</t>
  </si>
  <si>
    <t>Eixo 5</t>
  </si>
  <si>
    <t>Pesquisa de Satisfação (os resultados desse eixo geram as notas para a Avaliação de Desempenho dos Servidores Técnico-Administrativos)</t>
  </si>
  <si>
    <t>Eixo 6</t>
  </si>
  <si>
    <t>Instrumento de Pesquisa</t>
  </si>
  <si>
    <t>Os Eixos 2 e 3 possuem 5 tipos de questões, com escalas e opções de respostas diferentes (ver aba TítuloQuestões):</t>
  </si>
  <si>
    <t>A</t>
  </si>
  <si>
    <t>Questões tipo A</t>
  </si>
  <si>
    <t>B</t>
  </si>
  <si>
    <t>Questões tipo B</t>
  </si>
  <si>
    <t>E</t>
  </si>
  <si>
    <t>Questões tipo E</t>
  </si>
  <si>
    <t>F</t>
  </si>
  <si>
    <t>Questões tipo F</t>
  </si>
  <si>
    <t xml:space="preserve">G </t>
  </si>
  <si>
    <t>Questões tipo G</t>
  </si>
  <si>
    <t>As abas "Eixo 2" e "Eixo 3" são os arquivos base, ou seja, as respostas coletadas na pesquisa (não há identificação de servidores).</t>
  </si>
  <si>
    <t xml:space="preserve">As questões tipo G são informativas e não foram inseridas neste arquivo, pois são especificas para uso da CPA, assim como as questões abertas, que foram analisadas em arquivo separado porque demandam anonimato. </t>
  </si>
  <si>
    <r>
      <t xml:space="preserve">PERCENTUAIS GERAIS DE DE PARTICIPAÇÃO POR EIXO </t>
    </r>
    <r>
      <rPr>
        <b/>
        <vertAlign val="superscript"/>
        <sz val="10"/>
        <color rgb="FFFF0000"/>
        <rFont val="Arial"/>
        <family val="2"/>
      </rPr>
      <t>1</t>
    </r>
  </si>
  <si>
    <t>Qtde. Servidores</t>
  </si>
  <si>
    <t>Eixo 2 (%)</t>
  </si>
  <si>
    <t>Eixo 3 (%)</t>
  </si>
  <si>
    <t>total</t>
  </si>
  <si>
    <t>Considera a quantidade de servidores Geral/Unidades com base na folha de pagamento de dezembro/2021 (ativos), conforme dados abertos da Progepe, do qual foram segmentados os servidores por unidades. O arquivo está disponível em pasta específica neste Drive para conferência. Na segmentação é importante atentar para os servidores em Lotação Temporária, cujas unidades não foram identificadas, e outras variáveis, como afastamentos e cessões para outros órgãos.</t>
  </si>
  <si>
    <t>Os instrumentos de pesquisa da CPA possuem diferentes escalas, dependendo dos Eixos e Dimensões avaliadas, conforme os modelos abaixo:</t>
  </si>
  <si>
    <t>Para análise, considere os critérios abaixo, quando possível.</t>
  </si>
  <si>
    <t>Cada questão/subquestão apresenta os percentuais de participação seguida de critérios para análise dos resultados conforme descrição abaixo, com vistas a apoiar a tomada de decisão e a formulação de ações quando necessário.</t>
  </si>
  <si>
    <t xml:space="preserve">QUESTÕES TIPO A </t>
  </si>
  <si>
    <t>QUESTÕES TIPO C</t>
  </si>
  <si>
    <t>QUESTÕES TIPO D</t>
  </si>
  <si>
    <t>QUESTÕES TIPO E</t>
  </si>
  <si>
    <t>QUESTÕES TIPO F</t>
  </si>
  <si>
    <t>EXCELENTE</t>
  </si>
  <si>
    <t>CONCORDO PLENAMENTE</t>
  </si>
  <si>
    <t>MUITO SATISFEITO</t>
  </si>
  <si>
    <t>Atenção</t>
  </si>
  <si>
    <t>Não se aplica + Não sei responder</t>
  </si>
  <si>
    <t>BOM</t>
  </si>
  <si>
    <t>CONCORDO PARCIALMENTE</t>
  </si>
  <si>
    <t>SATISFEITO</t>
  </si>
  <si>
    <t>R1</t>
  </si>
  <si>
    <t>R2</t>
  </si>
  <si>
    <t>Urgência</t>
  </si>
  <si>
    <t>Péssimo + Ruim</t>
  </si>
  <si>
    <t>REGULAR</t>
  </si>
  <si>
    <t>NÃO CONCORDO NEM DISCORDO</t>
  </si>
  <si>
    <t>RAZOAVELMENTE SATISFEITO</t>
  </si>
  <si>
    <t>Aprimoramento</t>
  </si>
  <si>
    <t>RUIM</t>
  </si>
  <si>
    <t>DISCORDO PARCIALMENTE</t>
  </si>
  <si>
    <t>INSATISFEITO</t>
  </si>
  <si>
    <t>R3</t>
  </si>
  <si>
    <t>Manutenção</t>
  </si>
  <si>
    <t>Bom + Excelente</t>
  </si>
  <si>
    <t>PÉSSIMO</t>
  </si>
  <si>
    <t>DISCORDO PLENAMENTE</t>
  </si>
  <si>
    <t>MUITO INSATISFEITO</t>
  </si>
  <si>
    <t xml:space="preserve">NÃO SEI RESPONDER </t>
  </si>
  <si>
    <t>Questões tipo C</t>
  </si>
  <si>
    <t>CHC (em 2021 somente o CHC tem escala tipo C)</t>
  </si>
  <si>
    <t>NÃO SE APLICA</t>
  </si>
  <si>
    <t>Não concordo nem discordo + Não sei responder</t>
  </si>
  <si>
    <t>Discordo plenamente + Discordo parcialmente</t>
  </si>
  <si>
    <t>Concordo parcialmente</t>
  </si>
  <si>
    <t>Concordo plenamente</t>
  </si>
  <si>
    <t>Questões tipo D</t>
  </si>
  <si>
    <t>Muito insatisfeito + Insatisfeito</t>
  </si>
  <si>
    <t>Razoavelmente satisfeito</t>
  </si>
  <si>
    <t>Satisfeito + Muito satisfeito</t>
  </si>
  <si>
    <t>Questões tipo E (Q2.01)</t>
  </si>
  <si>
    <t>Questões tipo F (Q2.02)</t>
  </si>
  <si>
    <t xml:space="preserve">Questões tipo B e G </t>
  </si>
  <si>
    <t>As questões tipo B e G dispensam critérios</t>
  </si>
  <si>
    <t>Número_Questão</t>
  </si>
  <si>
    <t>Tipo_Questão</t>
  </si>
  <si>
    <t>Título_Questão</t>
  </si>
  <si>
    <t>Título _Gráfico</t>
  </si>
  <si>
    <t>Sobre a articulação entre Planejamento e Avaliação, considerando o planejamento estratégico de sua unidade e as pesquisas de avaliação institucional interna coordenadas pela Comissão Própria de Avaliação (CPA):</t>
  </si>
  <si>
    <t>Eixo 2: Questão 1</t>
  </si>
  <si>
    <t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t>
  </si>
  <si>
    <t>Eixo 2: Questão 2</t>
  </si>
  <si>
    <t>Você conhece os Representantes/Comissões Locais da CPA na sua unidade?</t>
  </si>
  <si>
    <t>Eixo 2: Questão 3</t>
  </si>
  <si>
    <t>2.04</t>
  </si>
  <si>
    <t>Escolha a sua unidade e conheça o Representante/Comissão Local:</t>
  </si>
  <si>
    <t>Questão informativa para uso da CPA</t>
  </si>
  <si>
    <t>2.05</t>
  </si>
  <si>
    <t>Aberta</t>
  </si>
  <si>
    <t>Se sua unidade não tiver um Representante/Comissão Local, use a opção "comentário"</t>
  </si>
  <si>
    <t>Ver arquivo específico</t>
  </si>
  <si>
    <t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t>
  </si>
  <si>
    <t>Eixo 2: Questão 6</t>
  </si>
  <si>
    <t>Com relação aos processos de avaliação na UFPR, opine sobre: [A implementação de ações efetivas de melhorias na instituição, por parte da sua unidade, em face dos resultados das pesquisas de Avaliação Institucional (interna e externa)]</t>
  </si>
  <si>
    <t>Eixo 2: Questão 7</t>
  </si>
  <si>
    <t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t>
  </si>
  <si>
    <t>Eixo 2: Questão 8</t>
  </si>
  <si>
    <t>Avalie o envolvimento e a participação de atores e instâncias diversas, que compõem a UFPR, na construção e revisão do Plano de Desenvolvimento Institucional (PDI):</t>
  </si>
  <si>
    <t>Eixo3: Questão 1</t>
  </si>
  <si>
    <t>Avalie o envolvimento da sua unidade no alcance dos objetivos e metas do PDI:</t>
  </si>
  <si>
    <t>Eixo3: Questão 2</t>
  </si>
  <si>
    <t>Sobre a articulação do PDI com as ações institucionais a seguir, deixe sua percepção: [Projeto Pedagógico Institucional (PPI)]</t>
  </si>
  <si>
    <t>Eixo3: Questão 3</t>
  </si>
  <si>
    <t>Sobre a articulação do PDI com as ações institucionais a seguir, deixe sua percepção: [Planejamento estratégico das unidades (Planejamento Interno)]</t>
  </si>
  <si>
    <t>Eixo3: Questão 4</t>
  </si>
  <si>
    <t>Sobre a articulação do PDI com as ações institucionais a seguir, deixe sua percepção: [Normas internas e regulamentos: Regimentos Internos, Estatutos, Resoluções, Portarias e demais documentos normativos]</t>
  </si>
  <si>
    <t>Eixo3: Questão 5</t>
  </si>
  <si>
    <t>Sobre a articulação do PDI com as ações institucionais a seguir, deixe sua percepção: [Missão e Valores da UFPR]</t>
  </si>
  <si>
    <t>Eixo3: Questão 6</t>
  </si>
  <si>
    <t>Sobre a articulação do PDI com as ações institucionais a seguir, deixe sua percepção: [Memória cultural, produção artística e patrimônio cultural]</t>
  </si>
  <si>
    <t>Eixo3: Questão 7</t>
  </si>
  <si>
    <t>A respeito da Missão da UFPR, considere as seguintes questões: [Aderência e coerência da Missão em face da realidade local e regional]</t>
  </si>
  <si>
    <t>Eixo3: Questão 8</t>
  </si>
  <si>
    <t>A respeito da Missão da UFPR, considere as seguintes questões: [Reconhecimento da sociedade ou comunidade sobre a importância da UFPR por meio de sua missão e valores]</t>
  </si>
  <si>
    <t>Eixo3: Questão 9</t>
  </si>
  <si>
    <t>A respeito da Missão da UFPR, considere as seguintes questões: [Articulação entre a Missão e os projetos e as políticas institucionais]</t>
  </si>
  <si>
    <t>Eixo3: Questão 10</t>
  </si>
  <si>
    <t>Título gráfico</t>
  </si>
  <si>
    <t>Resposta</t>
  </si>
  <si>
    <t>Técnicos</t>
  </si>
  <si>
    <t>Docentes</t>
  </si>
  <si>
    <t>Freq</t>
  </si>
  <si>
    <t>% Total</t>
  </si>
  <si>
    <t>% Válidas</t>
  </si>
  <si>
    <t>Sem resposta</t>
  </si>
  <si>
    <t>Péssimo</t>
  </si>
  <si>
    <t>Total</t>
  </si>
  <si>
    <t>Respostas</t>
  </si>
  <si>
    <t>Técnico</t>
  </si>
  <si>
    <t>Docente</t>
  </si>
  <si>
    <t>N/R</t>
  </si>
  <si>
    <t>Legenda</t>
  </si>
  <si>
    <t>Não responderam</t>
  </si>
  <si>
    <t>Na minha unidade, participamos efetivamente da elaboração do planejamento interno, mas não utilizamos os resultados da Autoavaliação</t>
  </si>
  <si>
    <t>Legendas</t>
  </si>
  <si>
    <t>Ações</t>
  </si>
  <si>
    <t>Não se aplica nesse caso</t>
  </si>
  <si>
    <t>Lgendas</t>
  </si>
  <si>
    <t>Respopstas</t>
  </si>
  <si>
    <t>Sem respostas</t>
  </si>
  <si>
    <t>Observo na minha unidade a atenção e a inserção dos resultados da Autoavaliação em ações de melhoria</t>
  </si>
  <si>
    <t xml:space="preserve">Não sei responder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</si>
</sst>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5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2"/>
      <color theme="6" tint="-0.499984740745262"/>
      <name val="Arial"/>
      <family val="2"/>
    </font>
    <font>
      <sz val="10"/>
      <color theme="4"/>
      <name val="Arial"/>
      <family val="2"/>
    </font>
    <font>
      <b/>
      <sz val="11"/>
      <color theme="1"/>
      <name val="Calibri"/>
      <family val="2"/>
    </font>
    <font>
      <b/>
      <sz val="1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591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4B084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42">
    <xf numFmtId="0" fontId="0" fillId="0" borderId="0" xfId="0"/>
    <xf numFmtId="2" fontId="0" fillId="0" borderId="0" xfId="0" applyNumberFormat="1"/>
    <xf numFmtId="0" fontId="0" fillId="0" borderId="0" xfId="0" quotePrefix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6" fillId="0" borderId="0" xfId="0" quotePrefix="1" applyFont="1"/>
    <xf numFmtId="0" fontId="0" fillId="0" borderId="1" xfId="0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quotePrefix="1" applyFont="1"/>
    <xf numFmtId="0" fontId="7" fillId="0" borderId="4" xfId="0" applyFont="1" applyBorder="1"/>
    <xf numFmtId="0" fontId="8" fillId="0" borderId="4" xfId="0" quotePrefix="1" applyFont="1" applyBorder="1"/>
    <xf numFmtId="0" fontId="7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8" fillId="0" borderId="0" xfId="0" quotePrefix="1" applyFont="1" applyAlignment="1">
      <alignment horizontal="right"/>
    </xf>
    <xf numFmtId="0" fontId="7" fillId="0" borderId="0" xfId="0" applyFont="1" applyAlignment="1">
      <alignment horizontal="left" vertical="top"/>
    </xf>
    <xf numFmtId="0" fontId="7" fillId="0" borderId="1" xfId="0" applyFont="1" applyBorder="1"/>
    <xf numFmtId="0" fontId="5" fillId="0" borderId="0" xfId="0" applyFont="1"/>
    <xf numFmtId="0" fontId="7" fillId="0" borderId="0" xfId="0" applyFont="1" applyAlignment="1">
      <alignment vertical="top"/>
    </xf>
    <xf numFmtId="2" fontId="7" fillId="0" borderId="0" xfId="0" applyNumberFormat="1" applyFont="1"/>
    <xf numFmtId="0" fontId="7" fillId="0" borderId="2" xfId="0" applyFont="1" applyBorder="1"/>
    <xf numFmtId="0" fontId="9" fillId="0" borderId="0" xfId="0" applyFont="1"/>
    <xf numFmtId="2" fontId="7" fillId="0" borderId="4" xfId="0" applyNumberFormat="1" applyFont="1" applyBorder="1"/>
    <xf numFmtId="0" fontId="7" fillId="6" borderId="0" xfId="0" applyFont="1" applyFill="1"/>
    <xf numFmtId="0" fontId="7" fillId="5" borderId="0" xfId="0" applyFont="1" applyFill="1"/>
    <xf numFmtId="0" fontId="7" fillId="8" borderId="0" xfId="0" applyFont="1" applyFill="1"/>
    <xf numFmtId="0" fontId="7" fillId="7" borderId="2" xfId="0" applyFont="1" applyFill="1" applyBorder="1"/>
    <xf numFmtId="0" fontId="7" fillId="0" borderId="2" xfId="0" applyFont="1" applyBorder="1" applyAlignment="1">
      <alignment horizontal="right"/>
    </xf>
    <xf numFmtId="0" fontId="8" fillId="0" borderId="2" xfId="0" quotePrefix="1" applyFont="1" applyBorder="1"/>
    <xf numFmtId="0" fontId="7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quotePrefix="1" applyFont="1"/>
    <xf numFmtId="2" fontId="6" fillId="0" borderId="0" xfId="0" quotePrefix="1" applyNumberFormat="1" applyFont="1"/>
    <xf numFmtId="2" fontId="7" fillId="0" borderId="0" xfId="0" applyNumberFormat="1" applyFont="1" applyAlignment="1">
      <alignment horizontal="right"/>
    </xf>
    <xf numFmtId="2" fontId="7" fillId="0" borderId="4" xfId="0" applyNumberFormat="1" applyFont="1" applyBorder="1" applyAlignment="1">
      <alignment horizontal="center"/>
    </xf>
    <xf numFmtId="2" fontId="6" fillId="0" borderId="2" xfId="0" quotePrefix="1" applyNumberFormat="1" applyFont="1" applyBorder="1"/>
    <xf numFmtId="2" fontId="8" fillId="0" borderId="4" xfId="0" quotePrefix="1" applyNumberFormat="1" applyFont="1" applyBorder="1"/>
    <xf numFmtId="2" fontId="8" fillId="0" borderId="0" xfId="0" quotePrefix="1" applyNumberFormat="1" applyFont="1"/>
    <xf numFmtId="2" fontId="8" fillId="0" borderId="2" xfId="0" quotePrefix="1" applyNumberFormat="1" applyFont="1" applyBorder="1"/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7" borderId="0" xfId="0" applyFont="1" applyFill="1"/>
    <xf numFmtId="0" fontId="11" fillId="0" borderId="0" xfId="0" applyFont="1"/>
    <xf numFmtId="0" fontId="12" fillId="0" borderId="0" xfId="0" applyFont="1"/>
    <xf numFmtId="0" fontId="12" fillId="0" borderId="5" xfId="0" applyFont="1" applyBorder="1"/>
    <xf numFmtId="0" fontId="13" fillId="0" borderId="0" xfId="0" applyFont="1"/>
    <xf numFmtId="0" fontId="14" fillId="0" borderId="0" xfId="0" applyFont="1"/>
    <xf numFmtId="0" fontId="15" fillId="10" borderId="5" xfId="0" applyFont="1" applyFill="1" applyBorder="1"/>
    <xf numFmtId="0" fontId="16" fillId="11" borderId="5" xfId="0" applyFont="1" applyFill="1" applyBorder="1"/>
    <xf numFmtId="0" fontId="16" fillId="13" borderId="5" xfId="0" applyFont="1" applyFill="1" applyBorder="1"/>
    <xf numFmtId="0" fontId="16" fillId="14" borderId="5" xfId="0" applyFont="1" applyFill="1" applyBorder="1"/>
    <xf numFmtId="0" fontId="16" fillId="15" borderId="5" xfId="0" applyFont="1" applyFill="1" applyBorder="1"/>
    <xf numFmtId="0" fontId="16" fillId="16" borderId="5" xfId="0" applyFont="1" applyFill="1" applyBorder="1"/>
    <xf numFmtId="0" fontId="17" fillId="12" borderId="5" xfId="0" applyFont="1" applyFill="1" applyBorder="1"/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17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49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0" fillId="18" borderId="5" xfId="0" applyFont="1" applyFill="1" applyBorder="1" applyAlignment="1">
      <alignment horizontal="left" wrapText="1"/>
    </xf>
    <xf numFmtId="9" fontId="20" fillId="18" borderId="5" xfId="1" applyFont="1" applyFill="1" applyBorder="1" applyAlignment="1">
      <alignment horizontal="left" wrapText="1"/>
    </xf>
    <xf numFmtId="0" fontId="22" fillId="0" borderId="5" xfId="0" applyFont="1" applyBorder="1" applyAlignment="1">
      <alignment horizontal="left"/>
    </xf>
    <xf numFmtId="2" fontId="23" fillId="0" borderId="5" xfId="0" applyNumberFormat="1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9" fontId="20" fillId="0" borderId="0" xfId="1" applyFont="1" applyFill="1" applyBorder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2" fontId="23" fillId="0" borderId="0" xfId="0" applyNumberFormat="1" applyFont="1" applyAlignment="1">
      <alignment horizontal="left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/>
    </xf>
    <xf numFmtId="0" fontId="8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right"/>
    </xf>
    <xf numFmtId="0" fontId="8" fillId="0" borderId="6" xfId="0" quotePrefix="1" applyFont="1" applyBorder="1"/>
    <xf numFmtId="0" fontId="7" fillId="0" borderId="6" xfId="0" applyFont="1" applyBorder="1"/>
    <xf numFmtId="2" fontId="7" fillId="0" borderId="6" xfId="0" applyNumberFormat="1" applyFont="1" applyBorder="1"/>
    <xf numFmtId="1" fontId="7" fillId="0" borderId="0" xfId="0" applyNumberFormat="1" applyFont="1" applyAlignment="1">
      <alignment horizontal="center"/>
    </xf>
    <xf numFmtId="1" fontId="8" fillId="0" borderId="0" xfId="0" quotePrefix="1" applyNumberFormat="1" applyFont="1" applyAlignment="1">
      <alignment horizontal="center"/>
    </xf>
    <xf numFmtId="1" fontId="7" fillId="0" borderId="0" xfId="0" applyNumberFormat="1" applyFont="1"/>
    <xf numFmtId="1" fontId="8" fillId="0" borderId="0" xfId="0" quotePrefix="1" applyNumberFormat="1" applyFont="1"/>
    <xf numFmtId="1" fontId="7" fillId="0" borderId="4" xfId="0" applyNumberFormat="1" applyFont="1" applyBorder="1"/>
    <xf numFmtId="0" fontId="0" fillId="17" borderId="0" xfId="0" applyFill="1" applyAlignment="1">
      <alignment horizontal="center" vertical="center" wrapText="1"/>
    </xf>
    <xf numFmtId="0" fontId="5" fillId="17" borderId="0" xfId="0" applyFont="1" applyFill="1" applyAlignment="1">
      <alignment vertical="center" wrapText="1"/>
    </xf>
    <xf numFmtId="0" fontId="0" fillId="17" borderId="0" xfId="0" applyFill="1" applyAlignment="1">
      <alignment vertical="center" wrapText="1"/>
    </xf>
    <xf numFmtId="49" fontId="3" fillId="2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6" xfId="0" applyFont="1" applyBorder="1"/>
    <xf numFmtId="0" fontId="12" fillId="0" borderId="13" xfId="0" applyFont="1" applyBorder="1"/>
    <xf numFmtId="0" fontId="22" fillId="0" borderId="0" xfId="0" applyFont="1" applyAlignment="1">
      <alignment horizontal="left" vertical="top" wrapText="1"/>
    </xf>
    <xf numFmtId="0" fontId="24" fillId="0" borderId="0" xfId="0" applyFont="1"/>
    <xf numFmtId="0" fontId="0" fillId="19" borderId="14" xfId="0" applyFill="1" applyBorder="1" applyAlignment="1">
      <alignment vertical="center"/>
    </xf>
    <xf numFmtId="0" fontId="26" fillId="0" borderId="0" xfId="0" applyFont="1"/>
    <xf numFmtId="0" fontId="18" fillId="0" borderId="0" xfId="0" applyFont="1" applyAlignment="1">
      <alignment horizontal="center"/>
    </xf>
    <xf numFmtId="0" fontId="17" fillId="0" borderId="0" xfId="0" applyFont="1"/>
    <xf numFmtId="0" fontId="27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6" fillId="12" borderId="5" xfId="0" applyFont="1" applyFill="1" applyBorder="1"/>
    <xf numFmtId="0" fontId="16" fillId="20" borderId="5" xfId="0" applyFont="1" applyFill="1" applyBorder="1"/>
    <xf numFmtId="0" fontId="16" fillId="20" borderId="15" xfId="0" applyFont="1" applyFill="1" applyBorder="1"/>
    <xf numFmtId="0" fontId="16" fillId="13" borderId="15" xfId="0" applyFont="1" applyFill="1" applyBorder="1"/>
    <xf numFmtId="0" fontId="16" fillId="12" borderId="15" xfId="0" applyFont="1" applyFill="1" applyBorder="1"/>
    <xf numFmtId="0" fontId="16" fillId="15" borderId="15" xfId="0" applyFont="1" applyFill="1" applyBorder="1"/>
    <xf numFmtId="0" fontId="16" fillId="16" borderId="15" xfId="0" applyFont="1" applyFill="1" applyBorder="1"/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2">
    <cellStyle name="Normal" xfId="0" builtinId="0"/>
    <cellStyle name="Porcentagem" xfId="1" builtinId="5"/>
  </cellStyles>
  <dxfs count="32"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center" textRotation="0" wrapText="1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0" formatCode="@"/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QTA!$C$5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QTA!$C$6:$C$11</c:f>
              <c:numCache>
                <c:formatCode>General</c:formatCode>
                <c:ptCount val="6"/>
                <c:pt idx="0">
                  <c:v>1723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3-41EE-9FF9-D2B8BC08AE12}"/>
            </c:ext>
          </c:extLst>
        </c:ser>
        <c:ser>
          <c:idx val="1"/>
          <c:order val="1"/>
          <c:tx>
            <c:strRef>
              <c:f>QTA!$D$5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QTA!$D$6:$D$11</c:f>
              <c:numCache>
                <c:formatCode>General</c:formatCode>
                <c:ptCount val="6"/>
                <c:pt idx="0">
                  <c:v>1724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3-41EE-9FF9-D2B8BC08AE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500352"/>
        <c:axId val="52501888"/>
      </c:barChart>
      <c:catAx>
        <c:axId val="5250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01888"/>
        <c:crosses val="autoZero"/>
        <c:auto val="1"/>
        <c:lblAlgn val="ctr"/>
        <c:lblOffset val="100"/>
        <c:noMultiLvlLbl val="0"/>
      </c:catAx>
      <c:valAx>
        <c:axId val="5250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0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0-4B6E-A925-785F3A7C57BC}"/>
            </c:ext>
          </c:extLst>
        </c:ser>
        <c:ser>
          <c:idx val="1"/>
          <c:order val="1"/>
          <c:tx>
            <c:strRef>
              <c:f>'Q2.07'!$D$5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0-4B6E-A925-785F3A7C57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186944"/>
        <c:axId val="101393536"/>
      </c:barChart>
      <c:catAx>
        <c:axId val="10118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393536"/>
        <c:crosses val="autoZero"/>
        <c:auto val="1"/>
        <c:lblAlgn val="ctr"/>
        <c:lblOffset val="100"/>
        <c:noMultiLvlLbl val="0"/>
      </c:catAx>
      <c:valAx>
        <c:axId val="10139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18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6E-4A5C-B54E-4E30434075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'Q2.07'!$D$18:$D$21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D-4131-874F-8123C7FF41B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6E-4A5C-B54E-4E30434075F2}"/>
              </c:ext>
            </c:extLst>
          </c:dPt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'Q2.07'!$E$18:$E$21</c:f>
              <c:numCache>
                <c:formatCode>0.00</c:formatCode>
                <c:ptCount val="4"/>
                <c:pt idx="0">
                  <c:v>50</c:v>
                </c:pt>
                <c:pt idx="1">
                  <c:v>50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4D-4131-874F-8123C7FF4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F3-4070-80AC-D7049415AC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'Q2.08'!$D$18:$D$21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72-490D-BA7E-5DBD20DB6FB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6F3-4070-80AC-D7049415AC62}"/>
              </c:ext>
            </c:extLst>
          </c:dPt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'Q2.08'!$E$18:$E$21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72-490D-BA7E-5DBD20DB6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4-425C-AE25-541AA28B06B5}"/>
            </c:ext>
          </c:extLst>
        </c:ser>
        <c:ser>
          <c:idx val="1"/>
          <c:order val="1"/>
          <c:tx>
            <c:strRef>
              <c:f>'Q2.08'!$D$5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4-425C-AE25-541AA28B06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369408"/>
        <c:axId val="108370944"/>
      </c:barChart>
      <c:catAx>
        <c:axId val="10836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70944"/>
        <c:crosses val="autoZero"/>
        <c:auto val="1"/>
        <c:lblAlgn val="ctr"/>
        <c:lblOffset val="100"/>
        <c:noMultiLvlLbl val="0"/>
      </c:catAx>
      <c:valAx>
        <c:axId val="10837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69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'Q3.01'!$C$5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E-4460-AA4B-BD00C93BC382}"/>
            </c:ext>
          </c:extLst>
        </c:ser>
        <c:ser>
          <c:idx val="1"/>
          <c:order val="1"/>
          <c:tx>
            <c:strRef>
              <c:f>'Q3.01'!$D$5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4E-4460-AA4B-BD00C93BC3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148992"/>
        <c:axId val="108150784"/>
      </c:barChart>
      <c:catAx>
        <c:axId val="10814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150784"/>
        <c:crosses val="autoZero"/>
        <c:auto val="1"/>
        <c:lblAlgn val="ctr"/>
        <c:lblOffset val="100"/>
        <c:noMultiLvlLbl val="0"/>
      </c:catAx>
      <c:valAx>
        <c:axId val="10815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1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F92-4087-B081-82B30372F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69-40AB-BE9D-F13AAC4E8EA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F92-4087-B081-82B30372FFE9}"/>
              </c:ext>
            </c:extLst>
          </c:dPt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'Q3.01'!$E$19:$E$22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69-40AB-BE9D-F13AAC4E8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'Q3.02'!$C$5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6-430A-9D08-9C092F65B28B}"/>
            </c:ext>
          </c:extLst>
        </c:ser>
        <c:ser>
          <c:idx val="1"/>
          <c:order val="1"/>
          <c:tx>
            <c:strRef>
              <c:f>'Q3.02'!$D$5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6-430A-9D08-9C092F65B2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467712"/>
        <c:axId val="108469248"/>
      </c:barChart>
      <c:catAx>
        <c:axId val="10846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469248"/>
        <c:crosses val="autoZero"/>
        <c:auto val="1"/>
        <c:lblAlgn val="ctr"/>
        <c:lblOffset val="100"/>
        <c:noMultiLvlLbl val="0"/>
      </c:catAx>
      <c:valAx>
        <c:axId val="10846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46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68-403A-8E6F-69E80E5AFB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34-4559-92AC-5AA59ABE328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68-403A-8E6F-69E80E5AFB60}"/>
              </c:ext>
            </c:extLst>
          </c:dPt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'Q3.02'!$E$19:$E$22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34-4559-92AC-5AA59ABE3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'Q3.03'!$C$5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7-4706-9DE3-3DBA3FBEE618}"/>
            </c:ext>
          </c:extLst>
        </c:ser>
        <c:ser>
          <c:idx val="1"/>
          <c:order val="1"/>
          <c:tx>
            <c:strRef>
              <c:f>'Q3.03'!$D$5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D7-4706-9DE3-3DBA3FBEE6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34944"/>
        <c:axId val="112253184"/>
      </c:barChart>
      <c:catAx>
        <c:axId val="11203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53184"/>
        <c:crosses val="autoZero"/>
        <c:auto val="1"/>
        <c:lblAlgn val="ctr"/>
        <c:lblOffset val="100"/>
        <c:noMultiLvlLbl val="0"/>
      </c:catAx>
      <c:valAx>
        <c:axId val="11225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3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7D-4FC0-BF55-0C04A81790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05D-9087-0ACADC296FA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57D-4FC0-BF55-0C04A817904C}"/>
              </c:ext>
            </c:extLst>
          </c:dPt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'Q3.03'!$E$19:$E$22</c:f>
              <c:numCache>
                <c:formatCode>0.00</c:formatCode>
                <c:ptCount val="4"/>
                <c:pt idx="0">
                  <c:v>0</c:v>
                </c:pt>
                <c:pt idx="1">
                  <c:v>50</c:v>
                </c:pt>
                <c:pt idx="2">
                  <c:v>50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E5-405D-9087-0ACADC296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QTB!$C$5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QTB!$C$6:$C$11</c:f>
              <c:numCache>
                <c:formatCode>General</c:formatCode>
                <c:ptCount val="6"/>
                <c:pt idx="0">
                  <c:v>1468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A-4450-ADB6-A799FF7CA39A}"/>
            </c:ext>
          </c:extLst>
        </c:ser>
        <c:ser>
          <c:idx val="1"/>
          <c:order val="1"/>
          <c:tx>
            <c:strRef>
              <c:f>QTB!$D$5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QTB!$D$6:$D$11</c:f>
              <c:numCache>
                <c:formatCode>General</c:formatCode>
                <c:ptCount val="6"/>
                <c:pt idx="0">
                  <c:v>1470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A-4450-ADB6-A799FF7CA3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913472"/>
        <c:axId val="97915264"/>
      </c:barChart>
      <c:catAx>
        <c:axId val="9791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15264"/>
        <c:crosses val="autoZero"/>
        <c:auto val="1"/>
        <c:lblAlgn val="ctr"/>
        <c:lblOffset val="100"/>
        <c:noMultiLvlLbl val="0"/>
      </c:catAx>
      <c:valAx>
        <c:axId val="9791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1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'Q3.04'!$C$5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5-4125-8F54-2CCB2B928ABC}"/>
            </c:ext>
          </c:extLst>
        </c:ser>
        <c:ser>
          <c:idx val="1"/>
          <c:order val="1"/>
          <c:tx>
            <c:strRef>
              <c:f>'Q3.04'!$D$5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5-4125-8F54-2CCB2B928A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541696"/>
        <c:axId val="112543232"/>
      </c:barChart>
      <c:catAx>
        <c:axId val="11254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543232"/>
        <c:crosses val="autoZero"/>
        <c:auto val="1"/>
        <c:lblAlgn val="ctr"/>
        <c:lblOffset val="100"/>
        <c:noMultiLvlLbl val="0"/>
      </c:catAx>
      <c:valAx>
        <c:axId val="11254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54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26-49D5-B561-968826A008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D8-45E2-ADC9-DC694502EAB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26-49D5-B561-968826A00897}"/>
              </c:ext>
            </c:extLst>
          </c:dPt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'Q3.04'!$E$19:$E$22</c:f>
              <c:numCache>
                <c:formatCode>0.00</c:formatCode>
                <c:ptCount val="4"/>
                <c:pt idx="0">
                  <c:v>0</c:v>
                </c:pt>
                <c:pt idx="1">
                  <c:v>50</c:v>
                </c:pt>
                <c:pt idx="2">
                  <c:v>50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D8-45E2-ADC9-DC694502E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'Q3.05'!$C$5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D-4EA1-A587-9FF9E77256D7}"/>
            </c:ext>
          </c:extLst>
        </c:ser>
        <c:ser>
          <c:idx val="1"/>
          <c:order val="1"/>
          <c:tx>
            <c:strRef>
              <c:f>'Q3.05'!$D$5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D-4EA1-A587-9FF9E77256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1774720"/>
        <c:axId val="111788800"/>
      </c:barChart>
      <c:catAx>
        <c:axId val="11177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88800"/>
        <c:crosses val="autoZero"/>
        <c:auto val="1"/>
        <c:lblAlgn val="ctr"/>
        <c:lblOffset val="100"/>
        <c:noMultiLvlLbl val="0"/>
      </c:catAx>
      <c:valAx>
        <c:axId val="11178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7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47-4A9A-A2B9-F3EA6CF325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2-4085-B691-CFAD6C5EDC1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A47-4A9A-A2B9-F3EA6CF325A1}"/>
              </c:ext>
            </c:extLst>
          </c:dPt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'Q3.05'!$E$19:$E$22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50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D2-4085-B691-CFAD6C5ED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1-4DD3-98C5-9DD8D9888689}"/>
            </c:ext>
          </c:extLst>
        </c:ser>
        <c:ser>
          <c:idx val="1"/>
          <c:order val="1"/>
          <c:tx>
            <c:strRef>
              <c:f>'Q3.06'!$D$5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1-4DD3-98C5-9DD8D98886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1982848"/>
        <c:axId val="111984640"/>
      </c:barChart>
      <c:catAx>
        <c:axId val="11198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84640"/>
        <c:crosses val="autoZero"/>
        <c:auto val="1"/>
        <c:lblAlgn val="ctr"/>
        <c:lblOffset val="100"/>
        <c:noMultiLvlLbl val="0"/>
      </c:catAx>
      <c:valAx>
        <c:axId val="11198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82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7E-4605-9401-AF809FB525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3-4475-8463-1CA12F919B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D7E-4605-9401-AF809FB525BB}"/>
              </c:ext>
            </c:extLst>
          </c:dPt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'Q3.06'!$E$19:$E$22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50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3-4475-8463-1CA12F919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D-41F6-9F5F-16842667A3ED}"/>
            </c:ext>
          </c:extLst>
        </c:ser>
        <c:ser>
          <c:idx val="1"/>
          <c:order val="1"/>
          <c:tx>
            <c:strRef>
              <c:f>'Q3.07'!$D$5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D-41F6-9F5F-16842667A3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334720"/>
        <c:axId val="112336256"/>
      </c:barChart>
      <c:catAx>
        <c:axId val="11233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336256"/>
        <c:crosses val="autoZero"/>
        <c:auto val="1"/>
        <c:lblAlgn val="ctr"/>
        <c:lblOffset val="100"/>
        <c:noMultiLvlLbl val="0"/>
      </c:catAx>
      <c:valAx>
        <c:axId val="11233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33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90-445C-8993-0487715836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D-4BD5-9EA7-5EEFE936A01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E90-445C-8993-0487715836B7}"/>
              </c:ext>
            </c:extLst>
          </c:dPt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'Q3.07'!$E$19:$E$22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50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1D-4BD5-9EA7-5EEFE936A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3-46C0-AF1E-DD52801702AE}"/>
            </c:ext>
          </c:extLst>
        </c:ser>
        <c:ser>
          <c:idx val="1"/>
          <c:order val="1"/>
          <c:tx>
            <c:strRef>
              <c:f>'Q3.08'!$D$5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3-46C0-AF1E-DD52801702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522368"/>
        <c:axId val="112523904"/>
      </c:barChart>
      <c:catAx>
        <c:axId val="11252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523904"/>
        <c:crosses val="autoZero"/>
        <c:auto val="1"/>
        <c:lblAlgn val="ctr"/>
        <c:lblOffset val="100"/>
        <c:noMultiLvlLbl val="0"/>
      </c:catAx>
      <c:valAx>
        <c:axId val="11252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5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3B-47FF-87EB-14206CFA6F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A-4639-8F63-C2915A2CF0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53B-47FF-87EB-14206CFA6F1D}"/>
              </c:ext>
            </c:extLst>
          </c:dPt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'Q3.08'!$E$19:$E$22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50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6A-4639-8F63-C2915A2CF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'Q2.01'!$C$5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'Q2.01'!$C$6:$C$9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E-43D7-9626-E7F54FEB6ECF}"/>
            </c:ext>
          </c:extLst>
        </c:ser>
        <c:ser>
          <c:idx val="1"/>
          <c:order val="1"/>
          <c:tx>
            <c:strRef>
              <c:f>'Q2.01'!$D$5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'Q2.01'!$D$6:$D$9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0E-43D7-9626-E7F54FEB6E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15520"/>
        <c:axId val="100717312"/>
      </c:barChart>
      <c:catAx>
        <c:axId val="1007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717312"/>
        <c:crosses val="autoZero"/>
        <c:auto val="1"/>
        <c:lblAlgn val="ctr"/>
        <c:lblOffset val="100"/>
        <c:noMultiLvlLbl val="0"/>
      </c:catAx>
      <c:valAx>
        <c:axId val="10071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71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'Q3.09'!$C$5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1-4342-B400-3A0518815835}"/>
            </c:ext>
          </c:extLst>
        </c:ser>
        <c:ser>
          <c:idx val="1"/>
          <c:order val="1"/>
          <c:tx>
            <c:strRef>
              <c:f>'Q3.09'!$D$5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B1-4342-B400-3A05188158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886528"/>
        <c:axId val="112888064"/>
      </c:barChart>
      <c:catAx>
        <c:axId val="11288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888064"/>
        <c:crosses val="autoZero"/>
        <c:auto val="1"/>
        <c:lblAlgn val="ctr"/>
        <c:lblOffset val="100"/>
        <c:noMultiLvlLbl val="0"/>
      </c:catAx>
      <c:valAx>
        <c:axId val="11288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88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CB-4721-9F9F-5DF48B6491D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'Q3.09'!$E$19:$E$22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50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CB-4721-9F9F-5DF48B6491D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'Q3.10'!$C$5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9-4459-BA55-FDF3AE0FBFE7}"/>
            </c:ext>
          </c:extLst>
        </c:ser>
        <c:ser>
          <c:idx val="1"/>
          <c:order val="1"/>
          <c:tx>
            <c:strRef>
              <c:f>'Q3.10'!$D$5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459-BA55-FDF3AE0FB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385280"/>
        <c:axId val="114386816"/>
      </c:barChart>
      <c:catAx>
        <c:axId val="11438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386816"/>
        <c:crosses val="autoZero"/>
        <c:auto val="1"/>
        <c:lblAlgn val="ctr"/>
        <c:lblOffset val="100"/>
        <c:noMultiLvlLbl val="0"/>
      </c:catAx>
      <c:valAx>
        <c:axId val="11438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38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7B-4A71-B6D2-9814EFB90D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0-402A-8FD0-D084ABA16CB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A7B-4A71-B6D2-9814EFB90D91}"/>
              </c:ext>
            </c:extLst>
          </c:dPt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'Q3.10'!$E$19:$E$22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50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0-402A-8FD0-D084ABA16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709-4B60-BB75-1727B84DD1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'Q2.01'!$D$25:$D$28</c:f>
              <c:numCache>
                <c:formatCode>General</c:formatCode>
                <c:ptCount val="4"/>
                <c:pt idx="0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709-4B60-BB75-1727B84DD1B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8709-4B60-BB75-1727B84DD1B9}"/>
              </c:ext>
            </c:extLst>
          </c:dPt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'Q2.01'!$E$25:$E$28</c:f>
              <c:numCache>
                <c:formatCode>0.00</c:formatCode>
                <c:ptCount val="4"/>
                <c:pt idx="0">
                  <c:v>50</c:v>
                </c:pt>
                <c:pt idx="2">
                  <c:v>0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709-4B60-BB75-1727B84DD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'Q2.02'!$C$5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'Q2.02'!$C$6:$C$8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3-4ECF-BFD3-F69746DCD730}"/>
            </c:ext>
          </c:extLst>
        </c:ser>
        <c:ser>
          <c:idx val="1"/>
          <c:order val="1"/>
          <c:tx>
            <c:strRef>
              <c:f>'Q2.02'!$D$5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'Q2.02'!$D$6:$D$8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73-4ECF-BFD3-F69746DCD7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6080"/>
        <c:axId val="100767616"/>
      </c:barChart>
      <c:catAx>
        <c:axId val="10076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767616"/>
        <c:crosses val="autoZero"/>
        <c:auto val="1"/>
        <c:lblAlgn val="ctr"/>
        <c:lblOffset val="100"/>
        <c:noMultiLvlLbl val="0"/>
      </c:catAx>
      <c:valAx>
        <c:axId val="10076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76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'Q2.02'!$D$22:$D$25</c15:sqref>
                  </c15:fullRef>
                </c:ext>
              </c:extLst>
              <c:f>('Q2.02'!$D$22,'Q2.02'!$D$25)</c:f>
              <c:numCache>
                <c:formatCode>General</c:formatCode>
                <c:ptCount val="2"/>
                <c:pt idx="0">
                  <c:v>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4A-4D53-8C52-C9998CAF195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'Q2.02'!$E$22:$E$25</c15:sqref>
                  </c15:fullRef>
                </c:ext>
              </c:extLst>
              <c:f>('Q2.02'!$E$22,'Q2.02'!$E$25)</c:f>
              <c:numCache>
                <c:formatCode>0.00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D4A-4D53-8C52-C9998CAF195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'Q2.03'!$C$5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'Q2.03'!$C$6:$C$8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2-430F-8456-9EC1BB13FAB7}"/>
            </c:ext>
          </c:extLst>
        </c:ser>
        <c:ser>
          <c:idx val="1"/>
          <c:order val="1"/>
          <c:tx>
            <c:strRef>
              <c:f>'Q2.03'!$D$5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'Q2.03'!$D$6:$D$8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12-430F-8456-9EC1BB13FA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829056"/>
        <c:axId val="100830592"/>
      </c:barChart>
      <c:catAx>
        <c:axId val="10082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30592"/>
        <c:crosses val="autoZero"/>
        <c:auto val="1"/>
        <c:lblAlgn val="ctr"/>
        <c:lblOffset val="100"/>
        <c:noMultiLvlLbl val="0"/>
      </c:catAx>
      <c:valAx>
        <c:axId val="10083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2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0C-4018-B9CB-DA49C64020D4}"/>
            </c:ext>
          </c:extLst>
        </c:ser>
        <c:ser>
          <c:idx val="1"/>
          <c:order val="1"/>
          <c:tx>
            <c:strRef>
              <c:f>'Q2.06'!$D$5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0C-4018-B9CB-DA49C6402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894976"/>
        <c:axId val="100909056"/>
      </c:barChart>
      <c:catAx>
        <c:axId val="10089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909056"/>
        <c:crosses val="autoZero"/>
        <c:auto val="1"/>
        <c:lblAlgn val="ctr"/>
        <c:lblOffset val="100"/>
        <c:noMultiLvlLbl val="0"/>
      </c:catAx>
      <c:valAx>
        <c:axId val="10090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9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19-4E60-A10D-0FEC7D4086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'Q2.06'!$D$18:$D$21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5-44AF-8BE2-D29393BBFB5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19-4E60-A10D-0FEC7D408629}"/>
              </c:ext>
            </c:extLst>
          </c:dPt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'Q2.06'!$E$18:$E$21</c:f>
              <c:numCache>
                <c:formatCode>0.00</c:formatCode>
                <c:ptCount val="4"/>
                <c:pt idx="0">
                  <c:v>50</c:v>
                </c:pt>
                <c:pt idx="1">
                  <c:v>50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5-44AF-8BE2-D29393BBF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EB5CB75-1B26-46BB-BABA-956DE8DC1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576ABB6-27D2-4833-8D90-FD616B14D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95250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BCE7D5D-5D4A-4B14-9785-0E80ACEA0FCA}"/>
            </a:ext>
            <a:ext uri="{147F2762-F138-4A5C-976F-8EAC2B608ADB}">
              <a16:predDERef xmlns:a16="http://schemas.microsoft.com/office/drawing/2014/main" pred="{3576ABB6-27D2-4833-8D90-FD616B14D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24729EB-F740-40BC-958F-8B7D52FFC5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38100</xdr:colOff>
      <xdr:row>28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C4D24B2-2AD3-46E5-A6A8-459033B88341}"/>
            </a:ext>
            <a:ext uri="{147F2762-F138-4A5C-976F-8EAC2B608ADB}">
              <a16:predDERef xmlns:a16="http://schemas.microsoft.com/office/drawing/2014/main" pred="{824729EB-F740-40BC-958F-8B7D52FFC5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12B7409-379D-446F-91AE-F7D568CF4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7378AC-40A4-4240-B84F-24C5DF0A41B1}"/>
            </a:ext>
            <a:ext uri="{147F2762-F138-4A5C-976F-8EAC2B608ADB}">
              <a16:predDERef xmlns:a16="http://schemas.microsoft.com/office/drawing/2014/main" pred="{E12B7409-379D-446F-91AE-F7D568CF42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F72ED84-1E34-4E13-9AE7-225972D3E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16</xdr:row>
      <xdr:rowOff>171450</xdr:rowOff>
    </xdr:from>
    <xdr:to>
      <xdr:col>10</xdr:col>
      <xdr:colOff>47625</xdr:colOff>
      <xdr:row>28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1ED75FC-14A8-459A-8F5C-B2E1FB8BB4E6}"/>
            </a:ext>
            <a:ext uri="{147F2762-F138-4A5C-976F-8EAC2B608ADB}">
              <a16:predDERef xmlns:a16="http://schemas.microsoft.com/office/drawing/2014/main" pred="{DF72ED84-1E34-4E13-9AE7-225972D3E4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A7B5110-6A6F-4F9A-BABC-69DFCE2D7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38100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D82081-63D6-4A5B-BEC4-BD18493422D8}"/>
            </a:ext>
            <a:ext uri="{147F2762-F138-4A5C-976F-8EAC2B608ADB}">
              <a16:predDERef xmlns:a16="http://schemas.microsoft.com/office/drawing/2014/main" pred="{5A7B5110-6A6F-4F9A-BABC-69DFCE2D71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61E747E-1C08-4D6D-A43C-0258485F2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16</xdr:row>
      <xdr:rowOff>180975</xdr:rowOff>
    </xdr:from>
    <xdr:to>
      <xdr:col>10</xdr:col>
      <xdr:colOff>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2B3C59-95B9-446B-887A-31DBA58D3B78}"/>
            </a:ext>
            <a:ext uri="{147F2762-F138-4A5C-976F-8EAC2B608ADB}">
              <a16:predDERef xmlns:a16="http://schemas.microsoft.com/office/drawing/2014/main" pred="{661E747E-1C08-4D6D-A43C-0258485F27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AF8749B-BE33-42D6-8C2F-8E27B8155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28575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F3C40B-6310-492B-9466-BAA7503957F0}"/>
            </a:ext>
            <a:ext uri="{147F2762-F138-4A5C-976F-8EAC2B608ADB}">
              <a16:predDERef xmlns:a16="http://schemas.microsoft.com/office/drawing/2014/main" pred="{2AF8749B-BE33-42D6-8C2F-8E27B81555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C9E02DB-4B2E-40C0-B166-63AA8EC81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9632AC3-CF7A-400E-9F7D-7908992B5C1F}"/>
            </a:ext>
            <a:ext uri="{147F2762-F138-4A5C-976F-8EAC2B608ADB}">
              <a16:predDERef xmlns:a16="http://schemas.microsoft.com/office/drawing/2014/main" pred="{6C9E02DB-4B2E-40C0-B166-63AA8EC81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3F12E1C-C432-4126-8335-CCFBB64B4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247650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7B5E042-C7DB-4771-BCEA-EEF16AA156BB}"/>
            </a:ext>
            <a:ext uri="{147F2762-F138-4A5C-976F-8EAC2B608ADB}">
              <a16:predDERef xmlns:a16="http://schemas.microsoft.com/office/drawing/2014/main" pred="{D976E1C1-8A80-4354-90F0-94022FE58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F8BD5BA-004D-4E8D-984F-81FED0BD2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B66A466-A403-4D98-B50F-A38EE9362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416718</xdr:colOff>
      <xdr:row>22</xdr:row>
      <xdr:rowOff>35719</xdr:rowOff>
    </xdr:from>
    <xdr:to>
      <xdr:col>11</xdr:col>
      <xdr:colOff>85724</xdr:colOff>
      <xdr:row>34</xdr:row>
      <xdr:rowOff>54769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97E873-05BE-47C8-AC9D-776E6CA86672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727F09F-EF55-4201-BAC1-EF96422CA1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333375</xdr:colOff>
      <xdr:row>19</xdr:row>
      <xdr:rowOff>47625</xdr:rowOff>
    </xdr:from>
    <xdr:to>
      <xdr:col>11</xdr:col>
      <xdr:colOff>0</xdr:colOff>
      <xdr:row>31</xdr:row>
      <xdr:rowOff>66675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C9B69D4-407E-4C07-8F02-C5C3FE27BEA4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4C9CC4-0714-4F5D-8878-1BEEFE724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352425</xdr:colOff>
      <xdr:row>15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16</xdr:row>
      <xdr:rowOff>9525</xdr:rowOff>
    </xdr:from>
    <xdr:to>
      <xdr:col>10</xdr:col>
      <xdr:colOff>390525</xdr:colOff>
      <xdr:row>28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EEE697-79D2-419C-AF0A-884D06CED296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7A44D96-FE51-4958-9950-B06421DC1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15</xdr:row>
      <xdr:rowOff>180975</xdr:rowOff>
    </xdr:from>
    <xdr:to>
      <xdr:col>10</xdr:col>
      <xdr:colOff>9525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AA165C-3206-4E68-B625-F77DEF217FE9}"/>
            </a:ext>
            <a:ext uri="{147F2762-F138-4A5C-976F-8EAC2B608ADB}">
              <a16:predDERef xmlns:a16="http://schemas.microsoft.com/office/drawing/2014/main" pred="{D7A44D96-FE51-4958-9950-B06421DC1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15</xdr:row>
      <xdr:rowOff>180975</xdr:rowOff>
    </xdr:from>
    <xdr:to>
      <xdr:col>10</xdr:col>
      <xdr:colOff>47625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555FAD-C509-4674-A919-7104B6A0F7D4}"/>
            </a:ext>
            <a:ext uri="{147F2762-F138-4A5C-976F-8EAC2B608ADB}">
              <a16:predDERef xmlns:a16="http://schemas.microsoft.com/office/drawing/2014/main" pred="{CBF949AC-E7DA-443D-8E9F-227D7E0AF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428625</xdr:colOff>
      <xdr:row>2</xdr:row>
      <xdr:rowOff>152400</xdr:rowOff>
    </xdr:from>
    <xdr:to>
      <xdr:col>17</xdr:col>
      <xdr:colOff>38100</xdr:colOff>
      <xdr:row>14</xdr:row>
      <xdr:rowOff>152400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7232E9CA-E096-44BF-BDD5-9BACEB51A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AFC4201-8382-4D08-8A62-2538EB7AE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47625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8F6764-367F-417D-8E7C-2F076FFDAB7C}"/>
            </a:ext>
            <a:ext uri="{147F2762-F138-4A5C-976F-8EAC2B608ADB}">
              <a16:predDERef xmlns:a16="http://schemas.microsoft.com/office/drawing/2014/main" pred="{7AFC4201-8382-4D08-8A62-2538EB7AE5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p2" displayName="Resp2" ref="A1:H3" totalsRowShown="0" headerRowDxfId="31" dataDxfId="30">
  <autoFilter ref="A1:H3" xr:uid="{00000000-0009-0000-0100-000002000000}"/>
  <tableColumns count="8">
    <tableColumn id="2" xr3:uid="{00000000-0010-0000-0000-000002000000}" name="Vínculo" dataDxfId="29"/>
    <tableColumn id="5" xr3:uid="{00000000-0010-0000-0000-000005000000}" name="Setor" dataDxfId="28"/>
    <tableColumn id="6" xr3:uid="{00000000-0010-0000-0000-000006000000}" name="2.01" dataDxfId="27"/>
    <tableColumn id="7" xr3:uid="{00000000-0010-0000-0000-000007000000}" name="2.02" dataDxfId="26"/>
    <tableColumn id="8" xr3:uid="{00000000-0010-0000-0000-000008000000}" name="2.03" dataDxfId="25"/>
    <tableColumn id="11" xr3:uid="{00000000-0010-0000-0000-00000B000000}" name="2.06" dataDxfId="24"/>
    <tableColumn id="12" xr3:uid="{00000000-0010-0000-0000-00000C000000}" name="2.07" dataDxfId="23"/>
    <tableColumn id="13" xr3:uid="{00000000-0010-0000-0000-00000D000000}" name="2.08" dataDxfId="22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Resp3" displayName="Resp3" ref="A1:L3" totalsRowShown="0" headerRowDxfId="21" dataDxfId="20">
  <autoFilter ref="A1:L3" xr:uid="{00000000-0009-0000-0100-000003000000}"/>
  <sortState xmlns:xlrd2="http://schemas.microsoft.com/office/spreadsheetml/2017/richdata2" ref="A2:L1466">
    <sortCondition ref="C1:C1466"/>
  </sortState>
  <tableColumns count="12">
    <tableColumn id="15" xr3:uid="{00000000-0010-0000-0100-00000F000000}" name="Vínculo" dataDxfId="19"/>
    <tableColumn id="3" xr3:uid="{00000000-0010-0000-0100-000003000000}" name="Setor" dataDxfId="18"/>
    <tableColumn id="4" xr3:uid="{00000000-0010-0000-0100-000004000000}" name="3.01" dataDxfId="17"/>
    <tableColumn id="5" xr3:uid="{00000000-0010-0000-0100-000005000000}" name="3.02" dataDxfId="16"/>
    <tableColumn id="6" xr3:uid="{00000000-0010-0000-0100-000006000000}" name="3.03" dataDxfId="15"/>
    <tableColumn id="7" xr3:uid="{00000000-0010-0000-0100-000007000000}" name="3.04" dataDxfId="14"/>
    <tableColumn id="8" xr3:uid="{00000000-0010-0000-0100-000008000000}" name="3.05" dataDxfId="13"/>
    <tableColumn id="9" xr3:uid="{00000000-0010-0000-0100-000009000000}" name="3.06" dataDxfId="12"/>
    <tableColumn id="10" xr3:uid="{00000000-0010-0000-0100-00000A000000}" name="3.07" dataDxfId="11"/>
    <tableColumn id="11" xr3:uid="{00000000-0010-0000-0100-00000B000000}" name="3.08" dataDxfId="10"/>
    <tableColumn id="12" xr3:uid="{00000000-0010-0000-0100-00000C000000}" name="3.09" dataDxfId="9"/>
    <tableColumn id="13" xr3:uid="{00000000-0010-0000-0100-00000D000000}" name="3.10" dataDxfId="8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Eixo" displayName="Eixo" ref="A1:D19" totalsRowShown="0" headerRowDxfId="7" dataDxfId="6" headerRowBorderDxfId="4" tableBorderDxfId="5">
  <autoFilter ref="A1:D19" xr:uid="{00000000-0009-0000-0100-000001000000}"/>
  <sortState xmlns:xlrd2="http://schemas.microsoft.com/office/spreadsheetml/2017/richdata2" ref="A2:D19">
    <sortCondition ref="A1:A19"/>
  </sortState>
  <tableColumns count="4">
    <tableColumn id="1" xr3:uid="{00000000-0010-0000-0200-000001000000}" name="Número_Questão" dataDxfId="3"/>
    <tableColumn id="2" xr3:uid="{00000000-0010-0000-0200-000002000000}" name="Tipo_Questão" dataDxfId="2"/>
    <tableColumn id="3" xr3:uid="{00000000-0010-0000-0200-000003000000}" name="Título_Questão" dataDxfId="1"/>
    <tableColumn id="4" xr3:uid="{00000000-0010-0000-0200-000004000000}" name="Título _Gráfic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CPA">
      <a:dk1>
        <a:sysClr val="windowText" lastClr="000000"/>
      </a:dk1>
      <a:lt1>
        <a:srgbClr val="FFFFFF"/>
      </a:lt1>
      <a:dk2>
        <a:srgbClr val="FFFFFF"/>
      </a:dk2>
      <a:lt2>
        <a:srgbClr val="FFFFFF"/>
      </a:lt2>
      <a:accent1>
        <a:srgbClr val="FF0000"/>
      </a:accent1>
      <a:accent2>
        <a:srgbClr val="FFC000"/>
      </a:accent2>
      <a:accent3>
        <a:srgbClr val="5B9BD5"/>
      </a:accent3>
      <a:accent4>
        <a:srgbClr val="70AD47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"/>
  <sheetViews>
    <sheetView zoomScaleNormal="100" workbookViewId="0">
      <selection activeCell="A2" sqref="A2:XFD1505"/>
    </sheetView>
  </sheetViews>
  <sheetFormatPr defaultColWidth="16.140625" defaultRowHeight="15"/>
  <cols>
    <col min="1" max="1" width="16.140625" style="112"/>
    <col min="2" max="16384" width="16.140625" style="78"/>
  </cols>
  <sheetData>
    <row r="1" spans="1:10" s="111" customFormat="1">
      <c r="A1" s="109" t="s">
        <v>0</v>
      </c>
      <c r="B1" s="109" t="s">
        <v>1</v>
      </c>
      <c r="C1" s="109" t="s">
        <v>2</v>
      </c>
      <c r="D1" s="109" t="s">
        <v>3</v>
      </c>
      <c r="E1" s="109" t="s">
        <v>4</v>
      </c>
      <c r="F1" s="109" t="s">
        <v>5</v>
      </c>
      <c r="G1" s="109" t="s">
        <v>6</v>
      </c>
      <c r="H1" s="109" t="s">
        <v>7</v>
      </c>
      <c r="I1" s="110"/>
      <c r="J1" s="110"/>
    </row>
    <row r="2" spans="1:10">
      <c r="A2" s="112" t="s">
        <v>8</v>
      </c>
      <c r="B2" s="112" t="s">
        <v>9</v>
      </c>
      <c r="C2" s="78" t="s">
        <v>10</v>
      </c>
      <c r="D2" s="78" t="s">
        <v>11</v>
      </c>
      <c r="E2" s="78" t="s">
        <v>12</v>
      </c>
      <c r="F2" s="78" t="s">
        <v>13</v>
      </c>
      <c r="G2" s="78" t="s">
        <v>13</v>
      </c>
      <c r="H2" s="78" t="s">
        <v>14</v>
      </c>
    </row>
    <row r="3" spans="1:10">
      <c r="A3" s="112" t="s">
        <v>8</v>
      </c>
      <c r="B3" s="112" t="s">
        <v>9</v>
      </c>
      <c r="C3" s="78" t="s">
        <v>15</v>
      </c>
      <c r="D3" s="78" t="s">
        <v>11</v>
      </c>
      <c r="E3" s="78" t="s">
        <v>16</v>
      </c>
      <c r="F3" s="78" t="s">
        <v>17</v>
      </c>
      <c r="G3" s="78" t="s">
        <v>17</v>
      </c>
      <c r="H3" s="78" t="s">
        <v>14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8"/>
  <sheetViews>
    <sheetView topLeftCell="A7" zoomScale="90" zoomScaleNormal="90" workbookViewId="0">
      <selection activeCell="M26" sqref="M26"/>
    </sheetView>
  </sheetViews>
  <sheetFormatPr defaultRowHeight="15"/>
  <cols>
    <col min="1" max="1" width="12.5703125" style="9" bestFit="1" customWidth="1"/>
    <col min="2" max="2" width="32.7109375" style="9" customWidth="1"/>
    <col min="3" max="3" width="31.5703125" style="9" customWidth="1"/>
    <col min="4" max="6" width="12.7109375" style="9" customWidth="1"/>
    <col min="7" max="7" width="12.7109375" style="25" customWidth="1"/>
    <col min="8" max="8" width="5.7109375" style="9" customWidth="1"/>
    <col min="9" max="15" width="10.7109375" style="9" customWidth="1"/>
    <col min="16" max="16" width="5.7109375" style="9" customWidth="1"/>
    <col min="17" max="16384" width="9.140625" style="9"/>
  </cols>
  <sheetData>
    <row r="1" spans="1:9">
      <c r="A1" s="9" t="s">
        <v>5</v>
      </c>
    </row>
    <row r="2" spans="1:9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9">
      <c r="A3" s="9" t="s">
        <v>155</v>
      </c>
      <c r="B3" s="10" t="str">
        <f>VLOOKUP(A$2, Eixo[], 4, FALSE)</f>
        <v>Eixo 2: Questão 6</v>
      </c>
      <c r="C3" s="10"/>
      <c r="D3" s="10"/>
    </row>
    <row r="5" spans="1:9">
      <c r="B5" s="7" t="s">
        <v>156</v>
      </c>
      <c r="C5" s="7" t="s">
        <v>157</v>
      </c>
      <c r="D5" s="7" t="s">
        <v>158</v>
      </c>
      <c r="E5" s="7" t="s">
        <v>159</v>
      </c>
      <c r="F5" s="8" t="s">
        <v>160</v>
      </c>
      <c r="G5" s="8" t="s">
        <v>161</v>
      </c>
    </row>
    <row r="6" spans="1:9">
      <c r="B6" s="9" t="s">
        <v>162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9">
      <c r="B7" s="9" t="s">
        <v>13</v>
      </c>
      <c r="C7" s="10">
        <f>COUNTIFS(Resp2[Vínculo],"tecnico",Resp2[2.06],B7)</f>
        <v>1</v>
      </c>
      <c r="D7" s="10">
        <f>COUNTIFS(Resp2[Vínculo],"docente",Resp2[2.06],B7)</f>
        <v>0</v>
      </c>
      <c r="E7" s="10">
        <f>COUNTIF(Resp2[2.06],B7)</f>
        <v>1</v>
      </c>
      <c r="F7" s="25">
        <f t="shared" ref="F7:F13" si="0">ROUND($E7/$E$13*100,2)</f>
        <v>50</v>
      </c>
      <c r="G7" s="25">
        <f>ROUND($E7/SUM($E$7:$E$12)*100,3)</f>
        <v>50</v>
      </c>
    </row>
    <row r="8" spans="1:9">
      <c r="B8" s="9" t="s">
        <v>163</v>
      </c>
      <c r="C8" s="10">
        <f>COUNTIFS(Resp2[Vínculo],"tecnico",Resp2[2.06],B8)</f>
        <v>0</v>
      </c>
      <c r="D8" s="10">
        <f>COUNTIFS(Resp2[Vínculo],"docente",Resp2[2.06],B8)</f>
        <v>0</v>
      </c>
      <c r="E8" s="10">
        <f>COUNTIF(Resp2[2.06],B8)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9">
      <c r="B9" s="9" t="s">
        <v>17</v>
      </c>
      <c r="C9" s="10">
        <f>COUNTIFS(Resp2[Vínculo],"tecnico",Resp2[2.06],B9)</f>
        <v>1</v>
      </c>
      <c r="D9" s="10">
        <f>COUNTIFS(Resp2[Vínculo],"docente",Resp2[2.06],B9)</f>
        <v>0</v>
      </c>
      <c r="E9" s="10">
        <f>COUNTIF(Resp2[2.06],B9)</f>
        <v>1</v>
      </c>
      <c r="F9" s="25">
        <f t="shared" si="0"/>
        <v>50</v>
      </c>
      <c r="G9" s="25">
        <f t="shared" si="1"/>
        <v>50</v>
      </c>
    </row>
    <row r="10" spans="1:9">
      <c r="B10" s="9" t="s">
        <v>29</v>
      </c>
      <c r="C10" s="10">
        <f>COUNTIFS(Resp2[Vínculo],"tecnico",Resp2[2.06],B10)</f>
        <v>0</v>
      </c>
      <c r="D10" s="10">
        <f>COUNTIFS(Resp2[Vínculo],"docente",Resp2[2.06],B10)</f>
        <v>0</v>
      </c>
      <c r="E10" s="10">
        <f>COUNTIF(Resp2[2.06],B10)</f>
        <v>0</v>
      </c>
      <c r="F10" s="25">
        <f t="shared" si="0"/>
        <v>0</v>
      </c>
      <c r="G10" s="25">
        <f t="shared" si="1"/>
        <v>0</v>
      </c>
    </row>
    <row r="11" spans="1:9">
      <c r="B11" s="9" t="s">
        <v>14</v>
      </c>
      <c r="C11" s="10">
        <f>COUNTIFS(Resp2[Vínculo],"tecnico",Resp2[2.06],B11)</f>
        <v>0</v>
      </c>
      <c r="D11" s="10">
        <f>COUNTIFS(Resp2[Vínculo],"docente",Resp2[2.06],B11)</f>
        <v>0</v>
      </c>
      <c r="E11" s="10">
        <f>COUNTIF(Resp2[2.06],B11)</f>
        <v>0</v>
      </c>
      <c r="F11" s="25">
        <f t="shared" si="0"/>
        <v>0</v>
      </c>
      <c r="G11" s="25">
        <f t="shared" si="1"/>
        <v>0</v>
      </c>
    </row>
    <row r="12" spans="1:9">
      <c r="B12" s="99" t="s">
        <v>28</v>
      </c>
      <c r="C12" s="98">
        <f>COUNTIFS(Resp2[Vínculo],"tecnico",Resp2[2.06],B12)</f>
        <v>0</v>
      </c>
      <c r="D12" s="98">
        <f>COUNTIFS(Resp2[Vínculo],"docente",Resp2[2.06],B12)</f>
        <v>0</v>
      </c>
      <c r="E12" s="98">
        <f>COUNTIF(Resp2[2.06],B12)</f>
        <v>0</v>
      </c>
      <c r="F12" s="100">
        <f t="shared" si="0"/>
        <v>0</v>
      </c>
      <c r="G12" s="100">
        <f t="shared" si="1"/>
        <v>0</v>
      </c>
    </row>
    <row r="13" spans="1:9">
      <c r="B13" s="10" t="s">
        <v>164</v>
      </c>
      <c r="C13" s="10">
        <f>SUM(C6:C12)</f>
        <v>2</v>
      </c>
      <c r="D13" s="10">
        <f>SUM(D6:D12)</f>
        <v>0</v>
      </c>
      <c r="E13" s="10">
        <f>SUM(C13:D13)</f>
        <v>2</v>
      </c>
      <c r="F13" s="103">
        <f t="shared" si="0"/>
        <v>100</v>
      </c>
      <c r="G13" s="103">
        <f>SUM(G7:G12)</f>
        <v>100</v>
      </c>
      <c r="H13" s="10"/>
      <c r="I13" s="10"/>
    </row>
    <row r="15" spans="1:9">
      <c r="B15" s="27"/>
      <c r="C15" s="27"/>
      <c r="D15" s="36"/>
      <c r="E15" s="36"/>
      <c r="F15" s="27"/>
      <c r="G15" s="27"/>
    </row>
    <row r="16" spans="1:9">
      <c r="B16" s="27"/>
      <c r="C16" s="27"/>
      <c r="D16" s="37"/>
      <c r="E16" s="38"/>
      <c r="F16" s="37"/>
      <c r="G16" s="38"/>
    </row>
    <row r="17" spans="2:7">
      <c r="B17" s="11" t="s">
        <v>172</v>
      </c>
      <c r="C17" s="11" t="s">
        <v>173</v>
      </c>
      <c r="D17" s="7" t="s">
        <v>157</v>
      </c>
      <c r="E17" s="8" t="s">
        <v>160</v>
      </c>
      <c r="F17" s="37"/>
      <c r="G17" s="38"/>
    </row>
    <row r="18" spans="2:7">
      <c r="B18" s="29" t="s">
        <v>82</v>
      </c>
      <c r="C18" s="29" t="s">
        <v>81</v>
      </c>
      <c r="D18" s="15">
        <f>SUM(C8:C9)</f>
        <v>1</v>
      </c>
      <c r="E18" s="44">
        <f>ROUND(D18/SUM(D$18:D$21)*100,3)</f>
        <v>50</v>
      </c>
      <c r="F18" s="37"/>
      <c r="G18" s="38"/>
    </row>
    <row r="19" spans="2:7">
      <c r="B19" s="30" t="s">
        <v>179</v>
      </c>
      <c r="C19" s="30" t="s">
        <v>74</v>
      </c>
      <c r="D19" s="15">
        <f>C7</f>
        <v>1</v>
      </c>
      <c r="E19" s="44">
        <f t="shared" ref="E19:E21" si="2">ROUND(D19/SUM(D$18:D$21)*100,3)</f>
        <v>50</v>
      </c>
      <c r="F19" s="37"/>
      <c r="G19" s="38"/>
    </row>
    <row r="20" spans="2:7">
      <c r="B20" s="31" t="s">
        <v>29</v>
      </c>
      <c r="C20" s="31" t="s">
        <v>86</v>
      </c>
      <c r="D20" s="15">
        <f>C10</f>
        <v>0</v>
      </c>
      <c r="E20" s="44">
        <f t="shared" si="2"/>
        <v>0</v>
      </c>
    </row>
    <row r="21" spans="2:7">
      <c r="B21" s="51" t="s">
        <v>92</v>
      </c>
      <c r="C21" s="51" t="s">
        <v>91</v>
      </c>
      <c r="D21" s="33">
        <f>SUM(C11:C12)</f>
        <v>0</v>
      </c>
      <c r="E21" s="45">
        <f t="shared" si="2"/>
        <v>0</v>
      </c>
    </row>
    <row r="22" spans="2:7">
      <c r="E22" s="40"/>
    </row>
    <row r="23" spans="2:7">
      <c r="E23" s="40"/>
    </row>
    <row r="24" spans="2:7">
      <c r="D24" s="13"/>
      <c r="E24" s="49"/>
    </row>
    <row r="25" spans="2:7">
      <c r="D25" s="15"/>
      <c r="E25" s="44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8"/>
  <sheetViews>
    <sheetView topLeftCell="A8" workbookViewId="0">
      <selection activeCell="B23" sqref="B23:E29"/>
    </sheetView>
  </sheetViews>
  <sheetFormatPr defaultRowHeight="15"/>
  <cols>
    <col min="1" max="1" width="12.5703125" style="9" bestFit="1" customWidth="1"/>
    <col min="2" max="2" width="22.5703125" style="9" customWidth="1"/>
    <col min="3" max="3" width="16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6</v>
      </c>
    </row>
    <row r="2" spans="1:7">
      <c r="A2" s="9" t="str">
        <f>TEXT(A1,"0.00")</f>
        <v>2.07</v>
      </c>
      <c r="B2" s="9" t="str">
        <f>VLOOKUP(A$2, Eixo[], 3, FALSE)</f>
        <v>Com relação aos processos de avaliação na UFPR, opine sobre: [A implementação de ações efetivas de melhorias na instituição, por parte da sua unidade, em face dos resultados das pesquisas de Avaliação Institucional (interna e externa)]</v>
      </c>
    </row>
    <row r="3" spans="1:7">
      <c r="A3" s="9" t="s">
        <v>155</v>
      </c>
      <c r="B3" s="10" t="str">
        <f>VLOOKUP(A$2, Eixo[], 4, FALSE)</f>
        <v>Eixo 2: Questão 7</v>
      </c>
      <c r="C3" s="10"/>
      <c r="D3" s="10"/>
    </row>
    <row r="5" spans="1:7">
      <c r="B5" s="7" t="s">
        <v>156</v>
      </c>
      <c r="C5" s="7" t="s">
        <v>157</v>
      </c>
      <c r="D5" s="7" t="s">
        <v>158</v>
      </c>
      <c r="E5" s="7" t="s">
        <v>159</v>
      </c>
      <c r="F5" s="8" t="s">
        <v>160</v>
      </c>
      <c r="G5" s="8" t="s">
        <v>161</v>
      </c>
    </row>
    <row r="6" spans="1:7">
      <c r="B6" s="9" t="s">
        <v>162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13</v>
      </c>
      <c r="C7" s="10">
        <f>COUNTIFS(Resp2[Vínculo],"tecnico",Resp2[2.07],B7)</f>
        <v>1</v>
      </c>
      <c r="D7" s="10">
        <f>COUNTIFS(Resp2[Vínculo],"docente",Resp2[2.07],B7)</f>
        <v>0</v>
      </c>
      <c r="E7" s="10">
        <f>COUNTIF(Resp2[2.07],B7)</f>
        <v>1</v>
      </c>
      <c r="F7" s="25">
        <f t="shared" ref="F7:F12" si="0">ROUND($E7/$E$13*100,2)</f>
        <v>50</v>
      </c>
      <c r="G7" s="25">
        <f>ROUND($E7/SUM($E$7:$E$12)*100,3)</f>
        <v>50</v>
      </c>
    </row>
    <row r="8" spans="1:7">
      <c r="B8" s="9" t="s">
        <v>163</v>
      </c>
      <c r="C8" s="10">
        <f>COUNTIFS(Resp2[Vínculo],"tecnico",Resp2[2.07],B8)</f>
        <v>0</v>
      </c>
      <c r="D8" s="10">
        <f>COUNTIFS(Resp2[Vínculo],"docente",Resp2[2.07],B8)</f>
        <v>0</v>
      </c>
      <c r="E8" s="10">
        <f>COUNTIF(Resp2[2.07],B8)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</v>
      </c>
      <c r="C9" s="10">
        <f>COUNTIFS(Resp2[Vínculo],"tecnico",Resp2[2.07],B9)</f>
        <v>1</v>
      </c>
      <c r="D9" s="10">
        <f>COUNTIFS(Resp2[Vínculo],"docente",Resp2[2.07],B9)</f>
        <v>0</v>
      </c>
      <c r="E9" s="10">
        <f>COUNTIF(Resp2[2.07],B9)</f>
        <v>1</v>
      </c>
      <c r="F9" s="25">
        <f t="shared" si="0"/>
        <v>50</v>
      </c>
      <c r="G9" s="25">
        <f t="shared" si="1"/>
        <v>50</v>
      </c>
    </row>
    <row r="10" spans="1:7">
      <c r="B10" s="9" t="s">
        <v>29</v>
      </c>
      <c r="C10" s="10">
        <f>COUNTIFS(Resp2[Vínculo],"tecnico",Resp2[2.07],B10)</f>
        <v>0</v>
      </c>
      <c r="D10" s="10">
        <f>COUNTIFS(Resp2[Vínculo],"docente",Resp2[2.07],B10)</f>
        <v>0</v>
      </c>
      <c r="E10" s="10">
        <f>COUNTIF(Resp2[2.07],B10)</f>
        <v>0</v>
      </c>
      <c r="F10" s="25">
        <f t="shared" si="0"/>
        <v>0</v>
      </c>
      <c r="G10" s="25">
        <f t="shared" si="1"/>
        <v>0</v>
      </c>
    </row>
    <row r="11" spans="1:7">
      <c r="B11" s="9" t="s">
        <v>14</v>
      </c>
      <c r="C11" s="10">
        <f>COUNTIFS(Resp2[Vínculo],"tecnico",Resp2[2.07],B11)</f>
        <v>0</v>
      </c>
      <c r="D11" s="10">
        <f>COUNTIFS(Resp2[Vínculo],"docente",Resp2[2.07],B11)</f>
        <v>0</v>
      </c>
      <c r="E11" s="10">
        <f>COUNTIF(Resp2[2.07],B11)</f>
        <v>0</v>
      </c>
      <c r="F11" s="25">
        <f t="shared" si="0"/>
        <v>0</v>
      </c>
      <c r="G11" s="25">
        <f t="shared" si="1"/>
        <v>0</v>
      </c>
    </row>
    <row r="12" spans="1:7">
      <c r="B12" s="26" t="s">
        <v>28</v>
      </c>
      <c r="C12" s="10">
        <f>COUNTIFS(Resp2[Vínculo],"tecnico",Resp2[2.07],B12)</f>
        <v>0</v>
      </c>
      <c r="D12" s="10">
        <f>COUNTIFS(Resp2[Vínculo],"docente",Resp2[2.07],B12)</f>
        <v>0</v>
      </c>
      <c r="E12" s="10">
        <f>COUNTIF(Resp2[2.07],B12)</f>
        <v>0</v>
      </c>
      <c r="F12" s="100">
        <f t="shared" si="0"/>
        <v>0</v>
      </c>
      <c r="G12" s="25">
        <f t="shared" si="1"/>
        <v>0</v>
      </c>
    </row>
    <row r="13" spans="1:7">
      <c r="B13" s="9" t="s">
        <v>164</v>
      </c>
      <c r="C13" s="11">
        <f>SUM(C6:C12)</f>
        <v>2</v>
      </c>
      <c r="D13" s="11">
        <f>SUM(D6:D12)</f>
        <v>0</v>
      </c>
      <c r="E13" s="11">
        <f>SUM(C13:D13)</f>
        <v>2</v>
      </c>
      <c r="F13" s="103">
        <f>ROUND($E13/$E$13*100,2)</f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B17" s="22" t="s">
        <v>172</v>
      </c>
      <c r="C17" s="22" t="s">
        <v>173</v>
      </c>
      <c r="D17" s="7" t="s">
        <v>157</v>
      </c>
      <c r="E17" s="8" t="s">
        <v>160</v>
      </c>
      <c r="F17" s="15"/>
      <c r="G17" s="10"/>
    </row>
    <row r="18" spans="2:7">
      <c r="B18" s="29" t="s">
        <v>82</v>
      </c>
      <c r="C18" s="29" t="s">
        <v>81</v>
      </c>
      <c r="D18" s="15">
        <f>SUM(C8:C9)</f>
        <v>1</v>
      </c>
      <c r="E18" s="39">
        <f>ROUND(D18/SUM(D$18:D$21)*100,3)</f>
        <v>50</v>
      </c>
      <c r="F18" s="15"/>
      <c r="G18" s="10"/>
    </row>
    <row r="19" spans="2:7">
      <c r="B19" s="30" t="s">
        <v>179</v>
      </c>
      <c r="C19" s="30" t="s">
        <v>74</v>
      </c>
      <c r="D19" s="15">
        <f>C7</f>
        <v>1</v>
      </c>
      <c r="E19" s="39">
        <f t="shared" ref="E19:E21" si="2">ROUND(D19/SUM(D$18:D$21)*100,3)</f>
        <v>50</v>
      </c>
      <c r="F19" s="15"/>
      <c r="G19" s="10"/>
    </row>
    <row r="20" spans="2:7">
      <c r="B20" s="31" t="s">
        <v>29</v>
      </c>
      <c r="C20" s="31" t="s">
        <v>86</v>
      </c>
      <c r="D20" s="15">
        <f>C10</f>
        <v>0</v>
      </c>
      <c r="E20" s="39">
        <f t="shared" si="2"/>
        <v>0</v>
      </c>
    </row>
    <row r="21" spans="2:7">
      <c r="B21" s="32" t="s">
        <v>92</v>
      </c>
      <c r="C21" s="32" t="s">
        <v>91</v>
      </c>
      <c r="D21" s="33">
        <f>SUM(C11:C12)</f>
        <v>0</v>
      </c>
      <c r="E21" s="42">
        <f t="shared" si="2"/>
        <v>0</v>
      </c>
    </row>
    <row r="22" spans="2:7">
      <c r="E22" s="40"/>
    </row>
    <row r="23" spans="2:7">
      <c r="E23" s="40"/>
    </row>
    <row r="24" spans="2:7">
      <c r="D24" s="13"/>
      <c r="E24" s="49"/>
    </row>
    <row r="25" spans="2:7">
      <c r="D25" s="15"/>
      <c r="E25" s="39"/>
    </row>
    <row r="26" spans="2:7">
      <c r="D26" s="15"/>
      <c r="E26" s="39"/>
    </row>
    <row r="27" spans="2:7">
      <c r="D27" s="15"/>
      <c r="E27" s="39"/>
    </row>
    <row r="28" spans="2:7">
      <c r="D28" s="15"/>
      <c r="E28" s="39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8"/>
  <sheetViews>
    <sheetView topLeftCell="A11" workbookViewId="0">
      <selection activeCell="B22" sqref="B22:E30"/>
    </sheetView>
  </sheetViews>
  <sheetFormatPr defaultRowHeight="15"/>
  <cols>
    <col min="1" max="1" width="12.5703125" style="9" bestFit="1" customWidth="1"/>
    <col min="2" max="2" width="31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7</v>
      </c>
    </row>
    <row r="2" spans="1:7">
      <c r="A2" s="9" t="str">
        <f>TEXT(A1,"0.00")</f>
        <v>2.08</v>
      </c>
      <c r="B2" s="9" t="str">
        <f>VLOOKUP(A$2, Eixo[], 3, FALSE)</f>
        <v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v>
      </c>
    </row>
    <row r="3" spans="1:7">
      <c r="A3" s="9" t="s">
        <v>155</v>
      </c>
      <c r="B3" s="10" t="str">
        <f>VLOOKUP(A$2, Eixo[], 4, FALSE)</f>
        <v>Eixo 2: Questão 8</v>
      </c>
      <c r="C3" s="10"/>
      <c r="D3" s="10"/>
    </row>
    <row r="5" spans="1:7">
      <c r="B5" s="7" t="s">
        <v>156</v>
      </c>
      <c r="C5" s="7" t="s">
        <v>157</v>
      </c>
      <c r="D5" s="7" t="s">
        <v>158</v>
      </c>
      <c r="E5" s="7" t="s">
        <v>159</v>
      </c>
      <c r="F5" s="8" t="s">
        <v>160</v>
      </c>
      <c r="G5" s="8" t="s">
        <v>161</v>
      </c>
    </row>
    <row r="6" spans="1:7">
      <c r="B6" s="9" t="s">
        <v>162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13</v>
      </c>
      <c r="C7" s="10">
        <f>COUNTIFS(Resp2[Vínculo],"tecnico",Resp2[2.08],B7)</f>
        <v>0</v>
      </c>
      <c r="D7" s="10">
        <f>COUNTIFS(Resp2[Vínculo],"docente",Resp2[2.08],B7)</f>
        <v>0</v>
      </c>
      <c r="E7" s="10">
        <f>COUNTIF(Resp2[2.08],B7)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163</v>
      </c>
      <c r="C8" s="10">
        <f>COUNTIFS(Resp2[Vínculo],"tecnico",Resp2[2.08],B8)</f>
        <v>0</v>
      </c>
      <c r="D8" s="10">
        <f>COUNTIFS(Resp2[Vínculo],"docente",Resp2[2.08],B8)</f>
        <v>0</v>
      </c>
      <c r="E8" s="10">
        <f>COUNTIF(Resp2[2.08],B8)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</v>
      </c>
      <c r="C9" s="10">
        <f>COUNTIFS(Resp2[Vínculo],"tecnico",Resp2[2.08],B9)</f>
        <v>0</v>
      </c>
      <c r="D9" s="10">
        <f>COUNTIFS(Resp2[Vínculo],"docente",Resp2[2.08],B9)</f>
        <v>0</v>
      </c>
      <c r="E9" s="10">
        <f>COUNTIF(Resp2[2.08],B9)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29</v>
      </c>
      <c r="C10" s="10">
        <f>COUNTIFS(Resp2[Vínculo],"tecnico",Resp2[2.08],B10)</f>
        <v>0</v>
      </c>
      <c r="D10" s="10">
        <f>COUNTIFS(Resp2[Vínculo],"docente",Resp2[2.08],B10)</f>
        <v>0</v>
      </c>
      <c r="E10" s="10">
        <f>COUNTIF(Resp2[2.08],B10)</f>
        <v>0</v>
      </c>
      <c r="F10" s="25">
        <f t="shared" si="0"/>
        <v>0</v>
      </c>
      <c r="G10" s="25">
        <f t="shared" si="1"/>
        <v>0</v>
      </c>
    </row>
    <row r="11" spans="1:7">
      <c r="B11" s="9" t="s">
        <v>14</v>
      </c>
      <c r="C11" s="10">
        <f>COUNTIFS(Resp2[Vínculo],"tecnico",Resp2[2.08],B11)</f>
        <v>2</v>
      </c>
      <c r="D11" s="10">
        <f>COUNTIFS(Resp2[Vínculo],"docente",Resp2[2.08],B11)</f>
        <v>0</v>
      </c>
      <c r="E11" s="10">
        <f>COUNTIF(Resp2[2.08],B11)</f>
        <v>2</v>
      </c>
      <c r="F11" s="25">
        <f t="shared" si="0"/>
        <v>100</v>
      </c>
      <c r="G11" s="25">
        <f t="shared" si="1"/>
        <v>100</v>
      </c>
    </row>
    <row r="12" spans="1:7">
      <c r="B12" s="26" t="s">
        <v>28</v>
      </c>
      <c r="C12" s="10">
        <f>COUNTIFS(Resp2[Vínculo],"tecnico",Resp2[2.08],B12)</f>
        <v>0</v>
      </c>
      <c r="D12" s="10">
        <f>COUNTIFS(Resp2[Vínculo],"docente",Resp2[2.08],B12)</f>
        <v>0</v>
      </c>
      <c r="E12" s="10">
        <f>COUNTIF(Resp2[2.08],B12)</f>
        <v>0</v>
      </c>
      <c r="F12" s="100">
        <f t="shared" si="0"/>
        <v>0</v>
      </c>
      <c r="G12" s="25">
        <f t="shared" si="1"/>
        <v>0</v>
      </c>
    </row>
    <row r="13" spans="1:7">
      <c r="B13" s="27" t="s">
        <v>164</v>
      </c>
      <c r="C13" s="11">
        <f>SUM(C6:C12)</f>
        <v>2</v>
      </c>
      <c r="D13" s="11">
        <f>SUM(D6:D12)</f>
        <v>0</v>
      </c>
      <c r="E13" s="11">
        <f>SUM(C13:D13)</f>
        <v>2</v>
      </c>
      <c r="F13" s="103">
        <f t="shared" si="0"/>
        <v>100</v>
      </c>
      <c r="G13" s="105">
        <f>SUM(G7:G12)</f>
        <v>100</v>
      </c>
    </row>
    <row r="15" spans="1:7">
      <c r="G15" s="9"/>
    </row>
    <row r="16" spans="1:7">
      <c r="F16" s="15"/>
      <c r="G16" s="10"/>
    </row>
    <row r="17" spans="2:7">
      <c r="B17" s="22" t="s">
        <v>172</v>
      </c>
      <c r="C17" s="22" t="s">
        <v>173</v>
      </c>
      <c r="D17" s="7" t="s">
        <v>157</v>
      </c>
      <c r="E17" s="8" t="s">
        <v>160</v>
      </c>
      <c r="F17" s="15"/>
      <c r="G17" s="10"/>
    </row>
    <row r="18" spans="2:7">
      <c r="B18" s="29" t="s">
        <v>82</v>
      </c>
      <c r="C18" s="29" t="s">
        <v>81</v>
      </c>
      <c r="D18" s="15">
        <f>SUM(C8:C9)</f>
        <v>0</v>
      </c>
      <c r="E18" s="39">
        <f>ROUND(D18/SUM(D$18:D$21)*100,3)</f>
        <v>0</v>
      </c>
      <c r="F18" s="15"/>
      <c r="G18" s="10"/>
    </row>
    <row r="19" spans="2:7">
      <c r="B19" s="30" t="s">
        <v>179</v>
      </c>
      <c r="C19" s="30" t="s">
        <v>74</v>
      </c>
      <c r="D19" s="15">
        <f>C7</f>
        <v>0</v>
      </c>
      <c r="E19" s="39">
        <f t="shared" ref="E19:E21" si="2">ROUND(D19/SUM(D$18:D$21)*100,3)</f>
        <v>0</v>
      </c>
      <c r="F19" s="15"/>
      <c r="G19" s="10"/>
    </row>
    <row r="20" spans="2:7">
      <c r="B20" s="31" t="s">
        <v>29</v>
      </c>
      <c r="C20" s="31" t="s">
        <v>86</v>
      </c>
      <c r="D20" s="15">
        <f>C10</f>
        <v>0</v>
      </c>
      <c r="E20" s="39">
        <f t="shared" si="2"/>
        <v>0</v>
      </c>
    </row>
    <row r="21" spans="2:7">
      <c r="B21" s="51" t="s">
        <v>92</v>
      </c>
      <c r="C21" s="51" t="s">
        <v>91</v>
      </c>
      <c r="D21" s="15">
        <f>SUM(C11:C12)</f>
        <v>2</v>
      </c>
      <c r="E21" s="39">
        <f t="shared" si="2"/>
        <v>100</v>
      </c>
    </row>
    <row r="22" spans="2:7">
      <c r="E22" s="40"/>
    </row>
    <row r="23" spans="2:7">
      <c r="E23" s="40"/>
    </row>
    <row r="24" spans="2:7">
      <c r="D24" s="13"/>
      <c r="E24" s="49"/>
    </row>
    <row r="25" spans="2:7">
      <c r="D25" s="15"/>
      <c r="E25" s="39"/>
    </row>
    <row r="26" spans="2:7">
      <c r="D26" s="15"/>
      <c r="E26" s="39"/>
    </row>
    <row r="27" spans="2:7">
      <c r="D27" s="15"/>
      <c r="E27" s="39"/>
    </row>
    <row r="28" spans="2:7">
      <c r="D28" s="15"/>
      <c r="E28" s="39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9"/>
  <sheetViews>
    <sheetView topLeftCell="A11" workbookViewId="0">
      <selection activeCell="A27" sqref="A27"/>
    </sheetView>
  </sheetViews>
  <sheetFormatPr defaultRowHeight="15"/>
  <cols>
    <col min="1" max="1" width="12.5703125" style="9" bestFit="1" customWidth="1"/>
    <col min="2" max="2" width="34.28515625" style="9" customWidth="1"/>
    <col min="3" max="3" width="19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18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155</v>
      </c>
      <c r="B3" s="10" t="str">
        <f>VLOOKUP(A$2, Eixo[], 4, FALSE)</f>
        <v>Eixo3: Questão 1</v>
      </c>
      <c r="C3" s="10"/>
      <c r="D3" s="10"/>
    </row>
    <row r="5" spans="1:7">
      <c r="B5" s="7" t="s">
        <v>156</v>
      </c>
      <c r="C5" s="7" t="s">
        <v>157</v>
      </c>
      <c r="D5" s="7" t="s">
        <v>158</v>
      </c>
      <c r="E5" s="7" t="s">
        <v>159</v>
      </c>
      <c r="F5" s="8" t="s">
        <v>160</v>
      </c>
      <c r="G5" s="8" t="s">
        <v>161</v>
      </c>
    </row>
    <row r="6" spans="1:7">
      <c r="B6" s="9" t="s">
        <v>162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13</v>
      </c>
      <c r="C7" s="10">
        <f>COUNTIFS(Resp3[Vínculo],"tecnico",Resp3[3.01],B7)</f>
        <v>0</v>
      </c>
      <c r="D7" s="10">
        <f>COUNTIFS(Resp3[Vínculo],"docente",Resp3[3.01],B7)</f>
        <v>0</v>
      </c>
      <c r="E7" s="10">
        <f>COUNTIF(Resp3[3.01],B7)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163</v>
      </c>
      <c r="C8" s="10">
        <f>COUNTIFS(Resp3[Vínculo],"tecnico",Resp3[3.01],B8)</f>
        <v>0</v>
      </c>
      <c r="D8" s="10">
        <f>COUNTIFS(Resp3[Vínculo],"docente",Resp3[3.01],B8)</f>
        <v>0</v>
      </c>
      <c r="E8" s="10">
        <f>COUNTIF(Resp3[3.01],B8)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</v>
      </c>
      <c r="C9" s="10">
        <f>COUNTIFS(Resp3[Vínculo],"tecnico",Resp3[3.01],B9)</f>
        <v>0</v>
      </c>
      <c r="D9" s="10">
        <f>COUNTIFS(Resp3[Vínculo],"docente",Resp3[3.01],B9)</f>
        <v>0</v>
      </c>
      <c r="E9" s="10">
        <f>COUNTIF(Resp3[3.01],B9)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29</v>
      </c>
      <c r="C10" s="10">
        <f>COUNTIFS(Resp3[Vínculo],"tecnico",Resp3[3.01],B10)</f>
        <v>0</v>
      </c>
      <c r="D10" s="10">
        <f>COUNTIFS(Resp3[Vínculo],"docente",Resp3[3.01],B10)</f>
        <v>0</v>
      </c>
      <c r="E10" s="10">
        <f>COUNTIF(Resp3[3.01],B10)</f>
        <v>0</v>
      </c>
      <c r="F10" s="25">
        <f t="shared" si="0"/>
        <v>0</v>
      </c>
      <c r="G10" s="25">
        <f t="shared" si="1"/>
        <v>0</v>
      </c>
    </row>
    <row r="11" spans="1:7">
      <c r="B11" s="9" t="s">
        <v>14</v>
      </c>
      <c r="C11" s="10">
        <f>COUNTIFS(Resp3[Vínculo],"tecnico",Resp3[3.01],B11)</f>
        <v>2</v>
      </c>
      <c r="D11" s="10">
        <f>COUNTIFS(Resp3[Vínculo],"docente",Resp3[3.01],B11)</f>
        <v>0</v>
      </c>
      <c r="E11" s="10">
        <f>COUNTIF(Resp3[3.01],B11)</f>
        <v>2</v>
      </c>
      <c r="F11" s="25">
        <f t="shared" si="0"/>
        <v>100</v>
      </c>
      <c r="G11" s="25">
        <f t="shared" si="1"/>
        <v>100</v>
      </c>
    </row>
    <row r="12" spans="1:7">
      <c r="B12" s="26" t="s">
        <v>28</v>
      </c>
      <c r="C12" s="10">
        <f>COUNTIFS(Resp3[Vínculo],"tecnico",Resp3[3.01],B12)</f>
        <v>0</v>
      </c>
      <c r="D12" s="10">
        <f>COUNTIFS(Resp3[Vínculo],"docente",Resp3[3.01],B12)</f>
        <v>0</v>
      </c>
      <c r="E12" s="10">
        <f>COUNTIF(Resp3[3.01],B12)</f>
        <v>0</v>
      </c>
      <c r="F12" s="100">
        <f t="shared" si="0"/>
        <v>0</v>
      </c>
      <c r="G12" s="25">
        <f t="shared" si="1"/>
        <v>0</v>
      </c>
    </row>
    <row r="13" spans="1:7">
      <c r="B13" s="27" t="s">
        <v>164</v>
      </c>
      <c r="C13" s="11">
        <f>SUM(C6:C12)</f>
        <v>2</v>
      </c>
      <c r="D13" s="11">
        <f>SUM(D6:D12)</f>
        <v>0</v>
      </c>
      <c r="E13" s="11">
        <f>SUM(C13:D13)</f>
        <v>2</v>
      </c>
      <c r="F13" s="103">
        <f t="shared" si="0"/>
        <v>100</v>
      </c>
      <c r="G13" s="105">
        <f>SUM(G7:G12)</f>
        <v>100</v>
      </c>
    </row>
    <row r="15" spans="1:7">
      <c r="G15" s="9"/>
    </row>
    <row r="16" spans="1:7"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172</v>
      </c>
      <c r="C18" s="22" t="s">
        <v>173</v>
      </c>
      <c r="D18" s="46" t="s">
        <v>157</v>
      </c>
      <c r="E18" s="47" t="s">
        <v>160</v>
      </c>
      <c r="F18" s="15"/>
      <c r="G18" s="10"/>
    </row>
    <row r="19" spans="2:7">
      <c r="B19" s="29" t="s">
        <v>82</v>
      </c>
      <c r="C19" s="29" t="s">
        <v>81</v>
      </c>
      <c r="D19" s="15">
        <f>SUM(C8:C9)</f>
        <v>0</v>
      </c>
      <c r="E19" s="43">
        <f>ROUND(D19/SUM(D$19:D$22)*100,3)</f>
        <v>0</v>
      </c>
      <c r="F19" s="15"/>
      <c r="G19" s="10"/>
    </row>
    <row r="20" spans="2:7">
      <c r="B20" s="30" t="s">
        <v>179</v>
      </c>
      <c r="C20" s="30" t="s">
        <v>74</v>
      </c>
      <c r="D20" s="15">
        <f>C7</f>
        <v>0</v>
      </c>
      <c r="E20" s="44">
        <f>ROUND(D20/SUM(D$19:D$22)*100,3)</f>
        <v>0</v>
      </c>
    </row>
    <row r="21" spans="2:7">
      <c r="B21" s="31" t="s">
        <v>29</v>
      </c>
      <c r="C21" s="31" t="s">
        <v>86</v>
      </c>
      <c r="D21" s="15">
        <f>C10</f>
        <v>0</v>
      </c>
      <c r="E21" s="44">
        <f>ROUND(D21/SUM(D$19:D$22)*100,3)</f>
        <v>0</v>
      </c>
    </row>
    <row r="22" spans="2:7">
      <c r="B22" s="32" t="s">
        <v>92</v>
      </c>
      <c r="C22" s="32" t="s">
        <v>91</v>
      </c>
      <c r="D22" s="33">
        <f>SUM(C11:C12)</f>
        <v>2</v>
      </c>
      <c r="E22" s="45">
        <f>ROUND(D22/SUM(D$19:D$22)*100,3)</f>
        <v>100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9"/>
  <sheetViews>
    <sheetView topLeftCell="A11" workbookViewId="0">
      <selection activeCell="B24" sqref="B24:E31"/>
    </sheetView>
  </sheetViews>
  <sheetFormatPr defaultRowHeight="15"/>
  <cols>
    <col min="1" max="1" width="12.5703125" style="9" bestFit="1" customWidth="1"/>
    <col min="2" max="2" width="31.5703125" style="9" customWidth="1"/>
    <col min="3" max="3" width="17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19</v>
      </c>
    </row>
    <row r="2" spans="1:7">
      <c r="A2" s="9" t="str">
        <f>TEXT(A1,"0.00")</f>
        <v>3.02</v>
      </c>
      <c r="B2" s="9" t="str">
        <f>VLOOKUP(A$2, Eixo[], 3, FALSE)</f>
        <v>Avalie o envolvimento da sua unidade no alcance dos objetivos e metas do PDI:</v>
      </c>
    </row>
    <row r="3" spans="1:7">
      <c r="A3" s="9" t="s">
        <v>155</v>
      </c>
      <c r="B3" s="10" t="str">
        <f>VLOOKUP(A$2, Eixo[], 4, FALSE)</f>
        <v>Eixo3: Questão 2</v>
      </c>
      <c r="C3" s="10"/>
      <c r="D3" s="10"/>
    </row>
    <row r="5" spans="1:7">
      <c r="B5" s="7" t="s">
        <v>156</v>
      </c>
      <c r="C5" s="7" t="s">
        <v>157</v>
      </c>
      <c r="D5" s="7" t="s">
        <v>158</v>
      </c>
      <c r="E5" s="7" t="s">
        <v>159</v>
      </c>
      <c r="F5" s="8" t="s">
        <v>160</v>
      </c>
      <c r="G5" s="8" t="s">
        <v>161</v>
      </c>
    </row>
    <row r="6" spans="1:7">
      <c r="B6" s="9" t="s">
        <v>162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ROUND($E6/E$13*100,2)</f>
        <v>0</v>
      </c>
    </row>
    <row r="7" spans="1:7">
      <c r="B7" s="9" t="s">
        <v>13</v>
      </c>
      <c r="C7" s="10">
        <f>COUNTIFS(Resp3[Vínculo],"tecnico",Resp3[3.02],B7)</f>
        <v>0</v>
      </c>
      <c r="D7" s="10">
        <f>COUNTIFS(Resp3[Vínculo],"docente",Resp3[3.02],B7)</f>
        <v>0</v>
      </c>
      <c r="E7" s="10">
        <f>COUNTIF(Resp3[3.02],B7)</f>
        <v>0</v>
      </c>
      <c r="F7" s="25">
        <f t="shared" ref="F7:F13" si="0">ROUND($E7/E$13*100,2)</f>
        <v>0</v>
      </c>
      <c r="G7" s="25">
        <f>ROUND($E7/SUM($E$7:$E$12)*100,3)</f>
        <v>0</v>
      </c>
    </row>
    <row r="8" spans="1:7">
      <c r="B8" s="9" t="s">
        <v>163</v>
      </c>
      <c r="C8" s="10">
        <f>COUNTIFS(Resp3[Vínculo],"tecnico",Resp3[3.02],B8)</f>
        <v>0</v>
      </c>
      <c r="D8" s="10">
        <f>COUNTIFS(Resp3[Vínculo],"docente",Resp3[3.02],B8)</f>
        <v>0</v>
      </c>
      <c r="E8" s="10">
        <f>COUNTIF(Resp3[3.02],B8)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</v>
      </c>
      <c r="C9" s="10">
        <f>COUNTIFS(Resp3[Vínculo],"tecnico",Resp3[3.02],B9)</f>
        <v>0</v>
      </c>
      <c r="D9" s="10">
        <f>COUNTIFS(Resp3[Vínculo],"docente",Resp3[3.02],B9)</f>
        <v>0</v>
      </c>
      <c r="E9" s="10">
        <f>COUNTIF(Resp3[3.02],B9)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29</v>
      </c>
      <c r="C10" s="10">
        <f>COUNTIFS(Resp3[Vínculo],"tecnico",Resp3[3.02],B10)</f>
        <v>0</v>
      </c>
      <c r="D10" s="10">
        <f>COUNTIFS(Resp3[Vínculo],"docente",Resp3[3.02],B10)</f>
        <v>0</v>
      </c>
      <c r="E10" s="10">
        <f>COUNTIF(Resp3[3.02],B10)</f>
        <v>0</v>
      </c>
      <c r="F10" s="25">
        <f t="shared" si="0"/>
        <v>0</v>
      </c>
      <c r="G10" s="25">
        <f t="shared" si="1"/>
        <v>0</v>
      </c>
    </row>
    <row r="11" spans="1:7">
      <c r="B11" s="9" t="s">
        <v>14</v>
      </c>
      <c r="C11" s="10">
        <f>COUNTIFS(Resp3[Vínculo],"tecnico",Resp3[3.02],B11)</f>
        <v>2</v>
      </c>
      <c r="D11" s="10">
        <f>COUNTIFS(Resp3[Vínculo],"docente",Resp3[3.02],B11)</f>
        <v>0</v>
      </c>
      <c r="E11" s="10">
        <f>COUNTIF(Resp3[3.02],B11)</f>
        <v>2</v>
      </c>
      <c r="F11" s="25">
        <f t="shared" si="0"/>
        <v>100</v>
      </c>
      <c r="G11" s="25">
        <f t="shared" si="1"/>
        <v>100</v>
      </c>
    </row>
    <row r="12" spans="1:7">
      <c r="B12" s="26" t="s">
        <v>28</v>
      </c>
      <c r="C12" s="10">
        <f>COUNTIFS(Resp3[Vínculo],"tecnico",Resp3[3.02],B12)</f>
        <v>0</v>
      </c>
      <c r="D12" s="10">
        <f>COUNTIFS(Resp3[Vínculo],"docente",Resp3[3.02],B12)</f>
        <v>0</v>
      </c>
      <c r="E12" s="10">
        <f>COUNTIF(Resp3[3.02],B12)</f>
        <v>0</v>
      </c>
      <c r="F12" s="100">
        <f t="shared" si="0"/>
        <v>0</v>
      </c>
      <c r="G12" s="25">
        <f t="shared" si="1"/>
        <v>0</v>
      </c>
    </row>
    <row r="13" spans="1:7">
      <c r="B13" s="27" t="s">
        <v>164</v>
      </c>
      <c r="C13" s="11">
        <f>SUM(C6:C12)</f>
        <v>2</v>
      </c>
      <c r="D13" s="11">
        <f>SUM(D6:D12)</f>
        <v>0</v>
      </c>
      <c r="E13" s="11">
        <f>SUM(C13:D13)</f>
        <v>2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172</v>
      </c>
      <c r="C18" s="22" t="s">
        <v>173</v>
      </c>
      <c r="D18" s="7" t="s">
        <v>157</v>
      </c>
      <c r="E18" s="35" t="s">
        <v>160</v>
      </c>
      <c r="F18" s="15"/>
      <c r="G18" s="10"/>
    </row>
    <row r="19" spans="2:7">
      <c r="B19" s="29" t="s">
        <v>82</v>
      </c>
      <c r="C19" s="29" t="s">
        <v>81</v>
      </c>
      <c r="D19" s="15">
        <f>SUM(C8:C9)</f>
        <v>0</v>
      </c>
      <c r="E19" s="12">
        <f>ROUND(D19/SUM(D$19:D$22)*100,3)</f>
        <v>0</v>
      </c>
      <c r="F19" s="15"/>
      <c r="G19" s="10"/>
    </row>
    <row r="20" spans="2:7">
      <c r="B20" s="30" t="s">
        <v>179</v>
      </c>
      <c r="C20" s="30" t="s">
        <v>74</v>
      </c>
      <c r="D20" s="15">
        <f>C7</f>
        <v>0</v>
      </c>
      <c r="E20" s="10">
        <f>ROUND(D20/SUM(D$19:D$22)*100,3)</f>
        <v>0</v>
      </c>
    </row>
    <row r="21" spans="2:7">
      <c r="B21" s="31" t="s">
        <v>29</v>
      </c>
      <c r="C21" s="31" t="s">
        <v>86</v>
      </c>
      <c r="D21" s="15">
        <f>C10</f>
        <v>0</v>
      </c>
      <c r="E21" s="10">
        <f>ROUND(D21/SUM(D$19:D$22)*100,3)</f>
        <v>0</v>
      </c>
    </row>
    <row r="22" spans="2:7">
      <c r="B22" s="32" t="s">
        <v>92</v>
      </c>
      <c r="C22" s="32" t="s">
        <v>91</v>
      </c>
      <c r="D22" s="33">
        <f>SUM(C11:C12)</f>
        <v>2</v>
      </c>
      <c r="E22" s="34">
        <f>ROUND(D22/SUM(D$19:D$22)*100,3)</f>
        <v>100</v>
      </c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9"/>
  <sheetViews>
    <sheetView topLeftCell="A12" workbookViewId="0">
      <selection activeCell="B24" sqref="B24:E31"/>
    </sheetView>
  </sheetViews>
  <sheetFormatPr defaultRowHeight="15"/>
  <cols>
    <col min="1" max="1" width="12.5703125" style="9" bestFit="1" customWidth="1"/>
    <col min="2" max="2" width="32.28515625" style="9" customWidth="1"/>
    <col min="3" max="3" width="19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20</v>
      </c>
    </row>
    <row r="2" spans="1:7">
      <c r="A2" s="9" t="str">
        <f>TEXT(A1,"0.00")</f>
        <v>3.03</v>
      </c>
      <c r="B2" s="9" t="str">
        <f>VLOOKUP(A$2, Eixo[], 3, FALSE)</f>
        <v>Sobre a articulação do PDI com as ações institucionais a seguir, deixe sua percepção: [Projeto Pedagógico Institucional (PPI)]</v>
      </c>
    </row>
    <row r="3" spans="1:7">
      <c r="A3" s="9" t="s">
        <v>155</v>
      </c>
      <c r="B3" s="10" t="str">
        <f>VLOOKUP(A$2, Eixo[], 4, FALSE)</f>
        <v>Eixo3: Questão 3</v>
      </c>
      <c r="C3" s="10"/>
      <c r="D3" s="10"/>
    </row>
    <row r="5" spans="1:7">
      <c r="B5" s="7" t="s">
        <v>156</v>
      </c>
      <c r="C5" s="7" t="s">
        <v>157</v>
      </c>
      <c r="D5" s="7" t="s">
        <v>158</v>
      </c>
      <c r="E5" s="7" t="s">
        <v>159</v>
      </c>
      <c r="F5" s="8" t="s">
        <v>160</v>
      </c>
      <c r="G5" s="8" t="s">
        <v>161</v>
      </c>
    </row>
    <row r="6" spans="1:7">
      <c r="B6" s="9" t="s">
        <v>162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13</v>
      </c>
      <c r="C7" s="10">
        <f>COUNTIFS(Resp3[Vínculo],"tecnico",Resp3[3.03],B7)</f>
        <v>1</v>
      </c>
      <c r="D7" s="10">
        <f>COUNTIFS(Resp3[Vínculo],"docente",Resp3[3.03],B7)</f>
        <v>0</v>
      </c>
      <c r="E7" s="10">
        <f>COUNTIF(Resp3[3.03],B7)</f>
        <v>1</v>
      </c>
      <c r="F7" s="25">
        <f t="shared" ref="F7:F13" si="0">ROUND($E7/$E$13*100,2)</f>
        <v>50</v>
      </c>
      <c r="G7" s="25">
        <f>ROUND($E7/SUM($E$7:$E$12)*100,3)</f>
        <v>50</v>
      </c>
    </row>
    <row r="8" spans="1:7">
      <c r="B8" s="9" t="s">
        <v>163</v>
      </c>
      <c r="C8" s="10">
        <f>COUNTIFS(Resp3[Vínculo],"tecnico",Resp3[3.03],B8)</f>
        <v>0</v>
      </c>
      <c r="D8" s="10">
        <f>COUNTIFS(Resp3[Vínculo],"docente",Resp3[3.03],B8)</f>
        <v>0</v>
      </c>
      <c r="E8" s="10">
        <f>COUNTIF(Resp3[3.03],B8)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</v>
      </c>
      <c r="C9" s="10">
        <f>COUNTIFS(Resp3[Vínculo],"tecnico",Resp3[3.03],B9)</f>
        <v>0</v>
      </c>
      <c r="D9" s="10">
        <f>COUNTIFS(Resp3[Vínculo],"docente",Resp3[3.03],B9)</f>
        <v>0</v>
      </c>
      <c r="E9" s="10">
        <f>COUNTIF(Resp3[3.03],B9)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29</v>
      </c>
      <c r="C10" s="10">
        <f>COUNTIFS(Resp3[Vínculo],"tecnico",Resp3[3.03],B10)</f>
        <v>1</v>
      </c>
      <c r="D10" s="10">
        <f>COUNTIFS(Resp3[Vínculo],"docente",Resp3[3.03],B10)</f>
        <v>0</v>
      </c>
      <c r="E10" s="10">
        <f>COUNTIF(Resp3[3.03],B10)</f>
        <v>1</v>
      </c>
      <c r="F10" s="25">
        <f t="shared" si="0"/>
        <v>50</v>
      </c>
      <c r="G10" s="25">
        <f t="shared" si="1"/>
        <v>50</v>
      </c>
    </row>
    <row r="11" spans="1:7">
      <c r="B11" s="9" t="s">
        <v>14</v>
      </c>
      <c r="C11" s="10">
        <f>COUNTIFS(Resp3[Vínculo],"tecnico",Resp3[3.03],B11)</f>
        <v>0</v>
      </c>
      <c r="D11" s="10">
        <f>COUNTIFS(Resp3[Vínculo],"docente",Resp3[3.03],B11)</f>
        <v>0</v>
      </c>
      <c r="E11" s="10">
        <f>COUNTIF(Resp3[3.03],B11)</f>
        <v>0</v>
      </c>
      <c r="F11" s="25">
        <f t="shared" si="0"/>
        <v>0</v>
      </c>
      <c r="G11" s="25">
        <f t="shared" si="1"/>
        <v>0</v>
      </c>
    </row>
    <row r="12" spans="1:7">
      <c r="B12" s="26" t="s">
        <v>28</v>
      </c>
      <c r="C12" s="10">
        <f>COUNTIFS(Resp3[Vínculo],"tecnico",Resp3[3.03],B12)</f>
        <v>0</v>
      </c>
      <c r="D12" s="10">
        <f>COUNTIFS(Resp3[Vínculo],"docente",Resp3[3.03],B12)</f>
        <v>0</v>
      </c>
      <c r="E12" s="10">
        <f>COUNTIF(Resp3[3.03],B12)</f>
        <v>0</v>
      </c>
      <c r="F12" s="100">
        <f t="shared" si="0"/>
        <v>0</v>
      </c>
      <c r="G12" s="25">
        <f t="shared" si="1"/>
        <v>0</v>
      </c>
    </row>
    <row r="13" spans="1:7">
      <c r="B13" s="27" t="s">
        <v>164</v>
      </c>
      <c r="C13" s="11">
        <f>SUM(C6:C12)</f>
        <v>2</v>
      </c>
      <c r="D13" s="11">
        <f>SUM(D6:D12)</f>
        <v>0</v>
      </c>
      <c r="E13" s="11">
        <f>SUM(C13:D13)</f>
        <v>2</v>
      </c>
      <c r="F13" s="103">
        <f t="shared" si="0"/>
        <v>100</v>
      </c>
      <c r="G13" s="105">
        <f>SUM(G7:G12)</f>
        <v>100</v>
      </c>
    </row>
    <row r="17" spans="2:7">
      <c r="D17" s="13"/>
      <c r="E17" s="13"/>
      <c r="G17" s="9"/>
    </row>
    <row r="18" spans="2:7">
      <c r="B18" s="22" t="s">
        <v>172</v>
      </c>
      <c r="C18" s="22" t="s">
        <v>173</v>
      </c>
      <c r="D18" s="7" t="s">
        <v>157</v>
      </c>
      <c r="E18" s="41" t="s">
        <v>160</v>
      </c>
      <c r="F18" s="15"/>
      <c r="G18" s="10"/>
    </row>
    <row r="19" spans="2:7">
      <c r="B19" s="29" t="s">
        <v>82</v>
      </c>
      <c r="C19" s="29" t="s">
        <v>81</v>
      </c>
      <c r="D19" s="15">
        <f>SUM(C8:C9)</f>
        <v>0</v>
      </c>
      <c r="E19" s="43">
        <f>ROUND(D19/SUM(D$19:D$22)*100,3)</f>
        <v>0</v>
      </c>
      <c r="F19" s="15"/>
      <c r="G19" s="10"/>
    </row>
    <row r="20" spans="2:7">
      <c r="B20" s="30" t="s">
        <v>179</v>
      </c>
      <c r="C20" s="30" t="s">
        <v>74</v>
      </c>
      <c r="D20" s="15">
        <f>C7</f>
        <v>1</v>
      </c>
      <c r="E20" s="44">
        <f>ROUND(D20/SUM(D$19:D$22)*100,3)</f>
        <v>50</v>
      </c>
      <c r="F20" s="15"/>
      <c r="G20" s="10"/>
    </row>
    <row r="21" spans="2:7">
      <c r="B21" s="31" t="s">
        <v>29</v>
      </c>
      <c r="C21" s="31" t="s">
        <v>86</v>
      </c>
      <c r="D21" s="15">
        <f>C10</f>
        <v>1</v>
      </c>
      <c r="E21" s="44">
        <f>ROUND(D21/SUM(D$19:D$22)*100,3)</f>
        <v>50</v>
      </c>
      <c r="F21" s="15"/>
      <c r="G21" s="10"/>
    </row>
    <row r="22" spans="2:7">
      <c r="B22" s="32" t="s">
        <v>92</v>
      </c>
      <c r="C22" s="32" t="s">
        <v>91</v>
      </c>
      <c r="D22" s="33">
        <f>SUM(C11:C12)</f>
        <v>0</v>
      </c>
      <c r="E22" s="45">
        <f>ROUND(D22/SUM(D$19:D$22)*100,3)</f>
        <v>0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9"/>
  <sheetViews>
    <sheetView topLeftCell="A12" workbookViewId="0">
      <selection activeCell="B24" sqref="B24:E31"/>
    </sheetView>
  </sheetViews>
  <sheetFormatPr defaultRowHeight="15"/>
  <cols>
    <col min="1" max="1" width="12.5703125" style="9" bestFit="1" customWidth="1"/>
    <col min="2" max="2" width="31.85546875" style="9" customWidth="1"/>
    <col min="3" max="3" width="18.71093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21</v>
      </c>
    </row>
    <row r="2" spans="1:7">
      <c r="A2" s="9" t="str">
        <f>TEXT(A1,"0.00")</f>
        <v>3.04</v>
      </c>
      <c r="B2" s="9" t="str">
        <f>VLOOKUP(A$2, Eixo[], 3, FALSE)</f>
        <v>Sobre a articulação do PDI com as ações institucionais a seguir, deixe sua percepção: [Planejamento estratégico das unidades (Planejamento Interno)]</v>
      </c>
    </row>
    <row r="3" spans="1:7">
      <c r="A3" s="9" t="s">
        <v>155</v>
      </c>
      <c r="B3" s="10" t="str">
        <f>VLOOKUP(A$2, Eixo[], 4, FALSE)</f>
        <v>Eixo3: Questão 4</v>
      </c>
      <c r="C3" s="10"/>
      <c r="D3" s="10"/>
    </row>
    <row r="5" spans="1:7">
      <c r="B5" s="7" t="s">
        <v>156</v>
      </c>
      <c r="C5" s="7" t="s">
        <v>157</v>
      </c>
      <c r="D5" s="7" t="s">
        <v>158</v>
      </c>
      <c r="E5" s="7" t="s">
        <v>159</v>
      </c>
      <c r="F5" s="8" t="s">
        <v>160</v>
      </c>
      <c r="G5" s="8" t="s">
        <v>161</v>
      </c>
    </row>
    <row r="6" spans="1:7">
      <c r="B6" s="9" t="s">
        <v>162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13</v>
      </c>
      <c r="C7" s="10">
        <f>COUNTIFS(Resp3[Vínculo],"tecnico",Resp3[3.04],B7)</f>
        <v>1</v>
      </c>
      <c r="D7" s="10">
        <f>COUNTIFS(Resp3[Vínculo],"docente",Resp3[3.04],B7)</f>
        <v>0</v>
      </c>
      <c r="E7" s="10">
        <f>COUNTIF(Resp3[3.04],B7)</f>
        <v>1</v>
      </c>
      <c r="F7" s="25">
        <f t="shared" ref="F7:F13" si="0">ROUND($E7/$E$13*100,2)</f>
        <v>50</v>
      </c>
      <c r="G7" s="25">
        <f>ROUND($E7/SUM($E$7:$E$12)*100,3)</f>
        <v>50</v>
      </c>
    </row>
    <row r="8" spans="1:7">
      <c r="B8" s="9" t="s">
        <v>163</v>
      </c>
      <c r="C8" s="10">
        <f>COUNTIFS(Resp3[Vínculo],"tecnico",Resp3[3.04],B8)</f>
        <v>0</v>
      </c>
      <c r="D8" s="10">
        <f>COUNTIFS(Resp3[Vínculo],"docente",Resp3[3.04],B8)</f>
        <v>0</v>
      </c>
      <c r="E8" s="10">
        <f>COUNTIF(Resp3[3.04],B8)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</v>
      </c>
      <c r="C9" s="10">
        <f>COUNTIFS(Resp3[Vínculo],"tecnico",Resp3[3.04],B9)</f>
        <v>0</v>
      </c>
      <c r="D9" s="10">
        <f>COUNTIFS(Resp3[Vínculo],"docente",Resp3[3.04],B9)</f>
        <v>0</v>
      </c>
      <c r="E9" s="10">
        <f>COUNTIF(Resp3[3.04],B9)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29</v>
      </c>
      <c r="C10" s="10">
        <f>COUNTIFS(Resp3[Vínculo],"tecnico",Resp3[3.04],B10)</f>
        <v>1</v>
      </c>
      <c r="D10" s="10">
        <f>COUNTIFS(Resp3[Vínculo],"docente",Resp3[3.04],B10)</f>
        <v>0</v>
      </c>
      <c r="E10" s="10">
        <f>COUNTIF(Resp3[3.04],B10)</f>
        <v>1</v>
      </c>
      <c r="F10" s="25">
        <f t="shared" si="0"/>
        <v>50</v>
      </c>
      <c r="G10" s="25">
        <f t="shared" si="1"/>
        <v>50</v>
      </c>
    </row>
    <row r="11" spans="1:7">
      <c r="B11" s="9" t="s">
        <v>14</v>
      </c>
      <c r="C11" s="10">
        <f>COUNTIFS(Resp3[Vínculo],"tecnico",Resp3[3.04],B11)</f>
        <v>0</v>
      </c>
      <c r="D11" s="10">
        <f>COUNTIFS(Resp3[Vínculo],"docente",Resp3[3.04],B11)</f>
        <v>0</v>
      </c>
      <c r="E11" s="10">
        <f>COUNTIF(Resp3[3.04],B11)</f>
        <v>0</v>
      </c>
      <c r="F11" s="25">
        <f t="shared" si="0"/>
        <v>0</v>
      </c>
      <c r="G11" s="25">
        <f t="shared" si="1"/>
        <v>0</v>
      </c>
    </row>
    <row r="12" spans="1:7">
      <c r="B12" s="26" t="s">
        <v>28</v>
      </c>
      <c r="C12" s="10">
        <f>COUNTIFS(Resp3[Vínculo],"tecnico",Resp3[3.04],B12)</f>
        <v>0</v>
      </c>
      <c r="D12" s="10">
        <f>COUNTIFS(Resp3[Vínculo],"docente",Resp3[3.04],B12)</f>
        <v>0</v>
      </c>
      <c r="E12" s="10">
        <f>COUNTIF(Resp3[3.04],B12)</f>
        <v>0</v>
      </c>
      <c r="F12" s="100">
        <f t="shared" si="0"/>
        <v>0</v>
      </c>
      <c r="G12" s="25">
        <f t="shared" si="1"/>
        <v>0</v>
      </c>
    </row>
    <row r="13" spans="1:7">
      <c r="B13" s="27" t="s">
        <v>164</v>
      </c>
      <c r="C13" s="11">
        <f>SUM(C6:C12)</f>
        <v>2</v>
      </c>
      <c r="D13" s="11">
        <f>SUM(D6:D12)</f>
        <v>0</v>
      </c>
      <c r="E13" s="11">
        <f>SUM(C13:D13)</f>
        <v>2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172</v>
      </c>
      <c r="C18" s="26" t="s">
        <v>173</v>
      </c>
      <c r="D18" s="48" t="s">
        <v>157</v>
      </c>
      <c r="E18" s="49" t="s">
        <v>160</v>
      </c>
      <c r="F18" s="15"/>
      <c r="G18" s="10"/>
    </row>
    <row r="19" spans="2:7">
      <c r="B19" s="29" t="s">
        <v>82</v>
      </c>
      <c r="C19" s="29" t="s">
        <v>81</v>
      </c>
      <c r="D19" s="15">
        <f>SUM(C8:C9)</f>
        <v>0</v>
      </c>
      <c r="E19" s="43">
        <f>ROUND(D19/SUM(D$19:D$22)*100,3)</f>
        <v>0</v>
      </c>
      <c r="F19" s="15"/>
      <c r="G19" s="10"/>
    </row>
    <row r="20" spans="2:7">
      <c r="B20" s="30" t="s">
        <v>179</v>
      </c>
      <c r="C20" s="30" t="s">
        <v>74</v>
      </c>
      <c r="D20" s="15">
        <f>C7</f>
        <v>1</v>
      </c>
      <c r="E20" s="44">
        <f>ROUND(D20/SUM(D$19:D$22)*100,3)</f>
        <v>50</v>
      </c>
    </row>
    <row r="21" spans="2:7">
      <c r="B21" s="31" t="s">
        <v>29</v>
      </c>
      <c r="C21" s="31" t="s">
        <v>86</v>
      </c>
      <c r="D21" s="15">
        <f>C10</f>
        <v>1</v>
      </c>
      <c r="E21" s="44">
        <f>ROUND(D21/SUM(D$19:D$22)*100,3)</f>
        <v>50</v>
      </c>
    </row>
    <row r="22" spans="2:7">
      <c r="B22" s="32" t="s">
        <v>92</v>
      </c>
      <c r="C22" s="32" t="s">
        <v>91</v>
      </c>
      <c r="D22" s="33">
        <f>SUM(C11:C12)</f>
        <v>0</v>
      </c>
      <c r="E22" s="45">
        <f>ROUND(D22/SUM(D$19:D$22)*100,3)</f>
        <v>0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9"/>
  <sheetViews>
    <sheetView topLeftCell="A11" workbookViewId="0">
      <selection activeCell="B23" sqref="B23:E33"/>
    </sheetView>
  </sheetViews>
  <sheetFormatPr defaultRowHeight="15"/>
  <cols>
    <col min="1" max="1" width="12.5703125" style="9" bestFit="1" customWidth="1"/>
    <col min="2" max="2" width="31.7109375" style="9" customWidth="1"/>
    <col min="3" max="3" width="17.57031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22</v>
      </c>
    </row>
    <row r="2" spans="1:7">
      <c r="A2" s="9" t="str">
        <f>TEXT(A1,"0.00")</f>
        <v>3.05</v>
      </c>
      <c r="B2" s="9" t="str">
        <f>VLOOKUP(A$2, Eixo[], 3, FALSE)</f>
        <v>Sobre a articulação do PDI com as ações institucionais a seguir, deixe sua percepção: [Normas internas e regulamentos: Regimentos Internos, Estatutos, Resoluções, Portarias e demais documentos normativos]</v>
      </c>
    </row>
    <row r="3" spans="1:7">
      <c r="A3" s="9" t="s">
        <v>155</v>
      </c>
      <c r="B3" s="10" t="str">
        <f>VLOOKUP(A$2, Eixo[], 4, FALSE)</f>
        <v>Eixo3: Questão 5</v>
      </c>
      <c r="C3" s="10"/>
      <c r="D3" s="10"/>
    </row>
    <row r="5" spans="1:7">
      <c r="B5" s="7" t="s">
        <v>156</v>
      </c>
      <c r="C5" s="7" t="s">
        <v>157</v>
      </c>
      <c r="D5" s="7" t="s">
        <v>158</v>
      </c>
      <c r="E5" s="7" t="s">
        <v>159</v>
      </c>
      <c r="F5" s="8" t="s">
        <v>160</v>
      </c>
      <c r="G5" s="8" t="s">
        <v>161</v>
      </c>
    </row>
    <row r="6" spans="1:7">
      <c r="B6" s="9" t="s">
        <v>162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13</v>
      </c>
      <c r="C7" s="10">
        <f>COUNTIFS(Resp3[Vínculo],"tecnico",Resp3[3.05],B7)</f>
        <v>0</v>
      </c>
      <c r="D7" s="10">
        <f>COUNTIFS(Resp3[Vínculo],"docente",Resp3[3.05],B7)</f>
        <v>0</v>
      </c>
      <c r="E7" s="10">
        <f>COUNTIF(Resp3[3.05],B7)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163</v>
      </c>
      <c r="C8" s="10">
        <f>COUNTIFS(Resp3[Vínculo],"tecnico",Resp3[3.05],B8)</f>
        <v>0</v>
      </c>
      <c r="D8" s="10">
        <f>COUNTIFS(Resp3[Vínculo],"docente",Resp3[3.05],B8)</f>
        <v>0</v>
      </c>
      <c r="E8" s="10">
        <f>COUNTIF(Resp3[3.05],B8)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</v>
      </c>
      <c r="C9" s="10">
        <f>COUNTIFS(Resp3[Vínculo],"tecnico",Resp3[3.05],B9)</f>
        <v>0</v>
      </c>
      <c r="D9" s="10">
        <f>COUNTIFS(Resp3[Vínculo],"docente",Resp3[3.05],B9)</f>
        <v>0</v>
      </c>
      <c r="E9" s="10">
        <f>COUNTIF(Resp3[3.05],B9)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29</v>
      </c>
      <c r="C10" s="10">
        <f>COUNTIFS(Resp3[Vínculo],"tecnico",Resp3[3.05],B10)</f>
        <v>1</v>
      </c>
      <c r="D10" s="10">
        <f>COUNTIFS(Resp3[Vínculo],"docente",Resp3[3.05],B10)</f>
        <v>0</v>
      </c>
      <c r="E10" s="10">
        <f>COUNTIF(Resp3[3.05],B10)</f>
        <v>1</v>
      </c>
      <c r="F10" s="25">
        <f t="shared" si="0"/>
        <v>50</v>
      </c>
      <c r="G10" s="25">
        <f t="shared" si="1"/>
        <v>50</v>
      </c>
    </row>
    <row r="11" spans="1:7">
      <c r="B11" s="9" t="s">
        <v>14</v>
      </c>
      <c r="C11" s="10">
        <f>COUNTIFS(Resp3[Vínculo],"tecnico",Resp3[3.05],B11)</f>
        <v>1</v>
      </c>
      <c r="D11" s="10">
        <f>COUNTIFS(Resp3[Vínculo],"docente",Resp3[3.05],B11)</f>
        <v>0</v>
      </c>
      <c r="E11" s="10">
        <f>COUNTIF(Resp3[3.05],B11)</f>
        <v>1</v>
      </c>
      <c r="F11" s="25">
        <f t="shared" si="0"/>
        <v>50</v>
      </c>
      <c r="G11" s="25">
        <f t="shared" si="1"/>
        <v>50</v>
      </c>
    </row>
    <row r="12" spans="1:7">
      <c r="B12" s="26" t="s">
        <v>28</v>
      </c>
      <c r="C12" s="10">
        <f>COUNTIFS(Resp3[Vínculo],"tecnico",Resp3[3.05],B12)</f>
        <v>0</v>
      </c>
      <c r="D12" s="10">
        <f>COUNTIFS(Resp3[Vínculo],"docente",Resp3[3.05],B12)</f>
        <v>0</v>
      </c>
      <c r="E12" s="10">
        <f>COUNTIF(Resp3[3.05],B12)</f>
        <v>0</v>
      </c>
      <c r="F12" s="100">
        <f t="shared" si="0"/>
        <v>0</v>
      </c>
      <c r="G12" s="25">
        <f t="shared" si="1"/>
        <v>0</v>
      </c>
    </row>
    <row r="13" spans="1:7">
      <c r="B13" s="27" t="s">
        <v>164</v>
      </c>
      <c r="C13" s="11">
        <f>SUM(C6:C12)</f>
        <v>2</v>
      </c>
      <c r="D13" s="11">
        <f>SUM(D6:D12)</f>
        <v>0</v>
      </c>
      <c r="E13" s="11">
        <f>SUM(C13:D13)</f>
        <v>2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172</v>
      </c>
      <c r="C18" s="22" t="s">
        <v>173</v>
      </c>
      <c r="D18" s="7" t="s">
        <v>157</v>
      </c>
      <c r="E18" s="8" t="s">
        <v>160</v>
      </c>
      <c r="F18" s="15"/>
      <c r="G18" s="10"/>
    </row>
    <row r="19" spans="2:7">
      <c r="B19" s="29" t="s">
        <v>82</v>
      </c>
      <c r="C19" s="29" t="s">
        <v>81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179</v>
      </c>
      <c r="C20" s="30" t="s">
        <v>74</v>
      </c>
      <c r="D20" s="15">
        <f>C7</f>
        <v>0</v>
      </c>
      <c r="E20" s="44">
        <f>ROUND(D20/SUM(D$19:D$22)*100,3)</f>
        <v>0</v>
      </c>
    </row>
    <row r="21" spans="2:7">
      <c r="B21" s="31" t="s">
        <v>29</v>
      </c>
      <c r="C21" s="31" t="s">
        <v>86</v>
      </c>
      <c r="D21" s="15">
        <f>C10</f>
        <v>1</v>
      </c>
      <c r="E21" s="44">
        <f>ROUND(D21/SUM(D$19:D$22)*100,3)</f>
        <v>50</v>
      </c>
    </row>
    <row r="22" spans="2:7">
      <c r="B22" s="51" t="s">
        <v>92</v>
      </c>
      <c r="C22" s="51" t="s">
        <v>91</v>
      </c>
      <c r="D22" s="15">
        <f>SUM(C11:C12)</f>
        <v>1</v>
      </c>
      <c r="E22" s="44">
        <f>ROUND(D22/SUM(D$19:D$22)*100,3)</f>
        <v>50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9"/>
  <sheetViews>
    <sheetView topLeftCell="A12" workbookViewId="0">
      <selection activeCell="B24" sqref="B24:E30"/>
    </sheetView>
  </sheetViews>
  <sheetFormatPr defaultRowHeight="15"/>
  <cols>
    <col min="1" max="1" width="12.5703125" style="9" bestFit="1" customWidth="1"/>
    <col min="2" max="2" width="32.28515625" style="9" customWidth="1"/>
    <col min="3" max="3" width="19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23</v>
      </c>
    </row>
    <row r="2" spans="1:7">
      <c r="A2" s="9" t="str">
        <f>TEXT(A1,"0.00")</f>
        <v>3.06</v>
      </c>
      <c r="B2" s="9" t="str">
        <f>VLOOKUP(A$2, Eixo[], 3, FALSE)</f>
        <v>Sobre a articulação do PDI com as ações institucionais a seguir, deixe sua percepção: [Missão e Valores da UFPR]</v>
      </c>
    </row>
    <row r="3" spans="1:7">
      <c r="A3" s="9" t="s">
        <v>155</v>
      </c>
      <c r="B3" s="10" t="str">
        <f>VLOOKUP(A$2, Eixo[], 4, FALSE)</f>
        <v>Eixo3: Questão 6</v>
      </c>
      <c r="C3" s="10"/>
      <c r="D3" s="10"/>
    </row>
    <row r="5" spans="1:7">
      <c r="B5" s="7" t="s">
        <v>156</v>
      </c>
      <c r="C5" s="7" t="s">
        <v>157</v>
      </c>
      <c r="D5" s="7" t="s">
        <v>158</v>
      </c>
      <c r="E5" s="7" t="s">
        <v>159</v>
      </c>
      <c r="F5" s="8" t="s">
        <v>160</v>
      </c>
      <c r="G5" s="8" t="s">
        <v>161</v>
      </c>
    </row>
    <row r="6" spans="1:7">
      <c r="B6" s="9" t="s">
        <v>162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13</v>
      </c>
      <c r="C7" s="10">
        <f>COUNTIFS(Resp3[Vínculo],"tecnico",Resp3[3.06],B7)</f>
        <v>0</v>
      </c>
      <c r="D7" s="10">
        <f>COUNTIFS(Resp3[Vínculo],"docente",Resp3[3.06],B7)</f>
        <v>0</v>
      </c>
      <c r="E7" s="10">
        <f>COUNTIF(Resp3[3.06],B7)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163</v>
      </c>
      <c r="C8" s="10">
        <f>COUNTIFS(Resp3[Vínculo],"tecnico",Resp3[3.06],B8)</f>
        <v>0</v>
      </c>
      <c r="D8" s="10">
        <f>COUNTIFS(Resp3[Vínculo],"docente",Resp3[3.06],B8)</f>
        <v>0</v>
      </c>
      <c r="E8" s="10">
        <f>COUNTIF(Resp3[3.06],B8)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</v>
      </c>
      <c r="C9" s="10">
        <f>COUNTIFS(Resp3[Vínculo],"tecnico",Resp3[3.06],B9)</f>
        <v>0</v>
      </c>
      <c r="D9" s="10">
        <f>COUNTIFS(Resp3[Vínculo],"docente",Resp3[3.06],B9)</f>
        <v>0</v>
      </c>
      <c r="E9" s="10">
        <f>COUNTIF(Resp3[3.06],B9)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29</v>
      </c>
      <c r="C10" s="10">
        <f>COUNTIFS(Resp3[Vínculo],"tecnico",Resp3[3.06],B10)</f>
        <v>1</v>
      </c>
      <c r="D10" s="10">
        <f>COUNTIFS(Resp3[Vínculo],"docente",Resp3[3.06],B10)</f>
        <v>0</v>
      </c>
      <c r="E10" s="10">
        <f>COUNTIF(Resp3[3.06],B10)</f>
        <v>1</v>
      </c>
      <c r="F10" s="25">
        <f t="shared" si="0"/>
        <v>50</v>
      </c>
      <c r="G10" s="25">
        <f t="shared" si="1"/>
        <v>50</v>
      </c>
    </row>
    <row r="11" spans="1:7">
      <c r="B11" s="9" t="s">
        <v>14</v>
      </c>
      <c r="C11" s="10">
        <f>COUNTIFS(Resp3[Vínculo],"tecnico",Resp3[3.06],B11)</f>
        <v>1</v>
      </c>
      <c r="D11" s="10">
        <f>COUNTIFS(Resp3[Vínculo],"docente",Resp3[3.06],B11)</f>
        <v>0</v>
      </c>
      <c r="E11" s="10">
        <f>COUNTIF(Resp3[3.06],B11)</f>
        <v>1</v>
      </c>
      <c r="F11" s="25">
        <f t="shared" si="0"/>
        <v>50</v>
      </c>
      <c r="G11" s="25">
        <f t="shared" si="1"/>
        <v>50</v>
      </c>
    </row>
    <row r="12" spans="1:7">
      <c r="B12" s="26" t="s">
        <v>28</v>
      </c>
      <c r="C12" s="10">
        <f>COUNTIFS(Resp3[Vínculo],"tecnico",Resp3[3.06],B12)</f>
        <v>0</v>
      </c>
      <c r="D12" s="10">
        <f>COUNTIFS(Resp3[Vínculo],"docente",Resp3[3.06],B12)</f>
        <v>0</v>
      </c>
      <c r="E12" s="10">
        <f>COUNTIF(Resp3[3.06],B12)</f>
        <v>0</v>
      </c>
      <c r="F12" s="100">
        <f t="shared" si="0"/>
        <v>0</v>
      </c>
      <c r="G12" s="25">
        <f t="shared" si="1"/>
        <v>0</v>
      </c>
    </row>
    <row r="13" spans="1:7">
      <c r="B13" s="27" t="s">
        <v>164</v>
      </c>
      <c r="C13" s="11">
        <f>SUM(C6:C12)</f>
        <v>2</v>
      </c>
      <c r="D13" s="11">
        <f>SUM(D6:D12)</f>
        <v>0</v>
      </c>
      <c r="E13" s="11">
        <f>SUM(C13:D13)</f>
        <v>2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172</v>
      </c>
      <c r="C18" s="22" t="s">
        <v>173</v>
      </c>
      <c r="D18" s="7" t="s">
        <v>157</v>
      </c>
      <c r="E18" s="8" t="s">
        <v>160</v>
      </c>
      <c r="F18" s="15"/>
      <c r="G18" s="10"/>
    </row>
    <row r="19" spans="2:7">
      <c r="B19" s="29" t="s">
        <v>82</v>
      </c>
      <c r="C19" s="29" t="s">
        <v>81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179</v>
      </c>
      <c r="C20" s="30" t="s">
        <v>74</v>
      </c>
      <c r="D20" s="15">
        <f>C7</f>
        <v>0</v>
      </c>
      <c r="E20" s="44">
        <f>ROUND(D20/SUM(D$19:D$22)*100,3)</f>
        <v>0</v>
      </c>
    </row>
    <row r="21" spans="2:7">
      <c r="B21" s="31" t="s">
        <v>29</v>
      </c>
      <c r="C21" s="31" t="s">
        <v>86</v>
      </c>
      <c r="D21" s="15">
        <f>C10</f>
        <v>1</v>
      </c>
      <c r="E21" s="44">
        <f>ROUND(D21/SUM(D$19:D$22)*100,3)</f>
        <v>50</v>
      </c>
    </row>
    <row r="22" spans="2:7">
      <c r="B22" s="32" t="s">
        <v>92</v>
      </c>
      <c r="C22" s="32" t="s">
        <v>91</v>
      </c>
      <c r="D22" s="33">
        <f>SUM(C11:C12)</f>
        <v>1</v>
      </c>
      <c r="E22" s="45">
        <f>ROUND(D22/SUM(D$19:D$22)*100,3)</f>
        <v>50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9"/>
  <sheetViews>
    <sheetView topLeftCell="A13" workbookViewId="0">
      <selection activeCell="I31" sqref="I31"/>
    </sheetView>
  </sheetViews>
  <sheetFormatPr defaultRowHeight="15"/>
  <cols>
    <col min="1" max="1" width="12.5703125" style="9" bestFit="1" customWidth="1"/>
    <col min="2" max="2" width="31.85546875" style="9" customWidth="1"/>
    <col min="3" max="3" width="19.28515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24</v>
      </c>
    </row>
    <row r="2" spans="1:7">
      <c r="A2" s="9" t="str">
        <f>TEXT(A1,"0.00")</f>
        <v>3.07</v>
      </c>
      <c r="B2" s="9" t="str">
        <f>VLOOKUP(A$2, Eixo[], 3, FALSE)</f>
        <v>Sobre a articulação do PDI com as ações institucionais a seguir, deixe sua percepção: [Memória cultural, produção artística e patrimônio cultural]</v>
      </c>
    </row>
    <row r="3" spans="1:7">
      <c r="A3" s="9" t="s">
        <v>155</v>
      </c>
      <c r="B3" s="10" t="str">
        <f>VLOOKUP(A$2, Eixo[], 4, FALSE)</f>
        <v>Eixo3: Questão 7</v>
      </c>
      <c r="C3" s="10"/>
      <c r="D3" s="10"/>
    </row>
    <row r="5" spans="1:7">
      <c r="B5" s="7" t="s">
        <v>156</v>
      </c>
      <c r="C5" s="7" t="s">
        <v>157</v>
      </c>
      <c r="D5" s="7" t="s">
        <v>158</v>
      </c>
      <c r="E5" s="7" t="s">
        <v>159</v>
      </c>
      <c r="F5" s="8" t="s">
        <v>160</v>
      </c>
      <c r="G5" s="8" t="s">
        <v>161</v>
      </c>
    </row>
    <row r="6" spans="1:7">
      <c r="B6" s="9" t="s">
        <v>162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13</v>
      </c>
      <c r="C7" s="10">
        <f>COUNTIFS(Resp3[Vínculo],"tecnico",Resp3[3.07],B7)</f>
        <v>0</v>
      </c>
      <c r="D7" s="10">
        <f>COUNTIFS(Resp3[Vínculo],"docente",Resp3[3.07],B7)</f>
        <v>0</v>
      </c>
      <c r="E7" s="10">
        <f>COUNTIF(Resp3[3.07],B7)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163</v>
      </c>
      <c r="C8" s="10">
        <f>COUNTIFS(Resp3[Vínculo],"tecnico",Resp3[3.07],B8)</f>
        <v>0</v>
      </c>
      <c r="D8" s="10">
        <f>COUNTIFS(Resp3[Vínculo],"docente",Resp3[3.07],B8)</f>
        <v>0</v>
      </c>
      <c r="E8" s="10">
        <f>COUNTIF(Resp3[3.07],B8)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</v>
      </c>
      <c r="C9" s="10">
        <f>COUNTIFS(Resp3[Vínculo],"tecnico",Resp3[3.07],B9)</f>
        <v>0</v>
      </c>
      <c r="D9" s="10">
        <f>COUNTIFS(Resp3[Vínculo],"docente",Resp3[3.07],B9)</f>
        <v>0</v>
      </c>
      <c r="E9" s="10">
        <f>COUNTIF(Resp3[3.07],B9)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29</v>
      </c>
      <c r="C10" s="10">
        <f>COUNTIFS(Resp3[Vínculo],"tecnico",Resp3[3.07],B10)</f>
        <v>1</v>
      </c>
      <c r="D10" s="10">
        <f>COUNTIFS(Resp3[Vínculo],"docente",Resp3[3.07],B10)</f>
        <v>0</v>
      </c>
      <c r="E10" s="10">
        <f>COUNTIF(Resp3[3.07],B10)</f>
        <v>1</v>
      </c>
      <c r="F10" s="25">
        <f t="shared" si="0"/>
        <v>50</v>
      </c>
      <c r="G10" s="25">
        <f t="shared" si="1"/>
        <v>50</v>
      </c>
    </row>
    <row r="11" spans="1:7">
      <c r="B11" s="9" t="s">
        <v>14</v>
      </c>
      <c r="C11" s="10">
        <f>COUNTIFS(Resp3[Vínculo],"tecnico",Resp3[3.07],B11)</f>
        <v>1</v>
      </c>
      <c r="D11" s="10">
        <f>COUNTIFS(Resp3[Vínculo],"docente",Resp3[3.07],B11)</f>
        <v>0</v>
      </c>
      <c r="E11" s="10">
        <f>COUNTIF(Resp3[3.07],B11)</f>
        <v>1</v>
      </c>
      <c r="F11" s="25">
        <f t="shared" si="0"/>
        <v>50</v>
      </c>
      <c r="G11" s="25">
        <f t="shared" si="1"/>
        <v>50</v>
      </c>
    </row>
    <row r="12" spans="1:7">
      <c r="B12" s="26" t="s">
        <v>28</v>
      </c>
      <c r="C12" s="10">
        <f>COUNTIFS(Resp3[Vínculo],"tecnico",Resp3[3.07],B12)</f>
        <v>0</v>
      </c>
      <c r="D12" s="10">
        <f>COUNTIFS(Resp3[Vínculo],"docente",Resp3[3.07],B12)</f>
        <v>0</v>
      </c>
      <c r="E12" s="10">
        <f>COUNTIF(Resp3[3.07],B12)</f>
        <v>0</v>
      </c>
      <c r="F12" s="100">
        <f t="shared" si="0"/>
        <v>0</v>
      </c>
      <c r="G12" s="25">
        <f t="shared" si="1"/>
        <v>0</v>
      </c>
    </row>
    <row r="13" spans="1:7">
      <c r="B13" s="27" t="s">
        <v>164</v>
      </c>
      <c r="C13" s="11">
        <f>SUM(C6:C12)</f>
        <v>2</v>
      </c>
      <c r="D13" s="11">
        <f>SUM(D6:D12)</f>
        <v>0</v>
      </c>
      <c r="E13" s="11">
        <f>SUM(C13:D13)</f>
        <v>2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172</v>
      </c>
      <c r="C18" s="26" t="s">
        <v>173</v>
      </c>
      <c r="D18" s="48" t="s">
        <v>157</v>
      </c>
      <c r="E18" s="50" t="s">
        <v>160</v>
      </c>
      <c r="F18" s="15"/>
      <c r="G18" s="10"/>
    </row>
    <row r="19" spans="2:7">
      <c r="B19" s="29" t="s">
        <v>82</v>
      </c>
      <c r="C19" s="29" t="s">
        <v>81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179</v>
      </c>
      <c r="C20" s="30" t="s">
        <v>74</v>
      </c>
      <c r="D20" s="15">
        <f>C7</f>
        <v>0</v>
      </c>
      <c r="E20" s="44">
        <f>ROUND(D20/SUM(D$19:D$22)*100,3)</f>
        <v>0</v>
      </c>
    </row>
    <row r="21" spans="2:7">
      <c r="B21" s="31" t="s">
        <v>29</v>
      </c>
      <c r="C21" s="31" t="s">
        <v>86</v>
      </c>
      <c r="D21" s="15">
        <f>C10</f>
        <v>1</v>
      </c>
      <c r="E21" s="44">
        <f>ROUND(D21/SUM(D$19:D$22)*100,3)</f>
        <v>50</v>
      </c>
    </row>
    <row r="22" spans="2:7">
      <c r="B22" s="32" t="s">
        <v>92</v>
      </c>
      <c r="C22" s="32" t="s">
        <v>91</v>
      </c>
      <c r="D22" s="33">
        <f>SUM(C11:C12)</f>
        <v>1</v>
      </c>
      <c r="E22" s="45">
        <f>ROUND(D22/SUM(D$19:D$22)*100,3)</f>
        <v>50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"/>
  <sheetViews>
    <sheetView zoomScale="90" zoomScaleNormal="90" workbookViewId="0">
      <selection activeCell="A2" sqref="A2:XFD1466"/>
    </sheetView>
  </sheetViews>
  <sheetFormatPr defaultColWidth="18" defaultRowHeight="15"/>
  <cols>
    <col min="1" max="1" width="18" style="79" customWidth="1"/>
    <col min="2" max="2" width="18" style="78"/>
    <col min="3" max="3" width="11.140625" style="78" customWidth="1"/>
    <col min="4" max="4" width="22.85546875" style="78" bestFit="1" customWidth="1"/>
    <col min="5" max="7" width="18" style="78"/>
    <col min="8" max="8" width="18" style="78" customWidth="1"/>
    <col min="9" max="9" width="18" style="78"/>
    <col min="10" max="10" width="18" style="78" customWidth="1"/>
    <col min="11" max="16384" width="18" style="78"/>
  </cols>
  <sheetData>
    <row r="1" spans="1:12" s="77" customFormat="1" ht="12.75" customHeight="1">
      <c r="A1" s="75" t="s">
        <v>0</v>
      </c>
      <c r="B1" s="76" t="s">
        <v>1</v>
      </c>
      <c r="C1" s="75" t="s">
        <v>18</v>
      </c>
      <c r="D1" s="75" t="s">
        <v>19</v>
      </c>
      <c r="E1" s="75" t="s">
        <v>20</v>
      </c>
      <c r="F1" s="75" t="s">
        <v>21</v>
      </c>
      <c r="G1" s="75" t="s">
        <v>22</v>
      </c>
      <c r="H1" s="75" t="s">
        <v>23</v>
      </c>
      <c r="I1" s="75" t="s">
        <v>24</v>
      </c>
      <c r="J1" s="75" t="s">
        <v>25</v>
      </c>
      <c r="K1" s="75" t="s">
        <v>26</v>
      </c>
      <c r="L1" s="75" t="s">
        <v>27</v>
      </c>
    </row>
    <row r="2" spans="1:12">
      <c r="A2" s="78" t="s">
        <v>8</v>
      </c>
      <c r="B2" s="78" t="s">
        <v>9</v>
      </c>
      <c r="C2" s="78" t="s">
        <v>14</v>
      </c>
      <c r="D2" s="78" t="s">
        <v>14</v>
      </c>
      <c r="E2" s="78" t="s">
        <v>13</v>
      </c>
      <c r="F2" s="78" t="s">
        <v>13</v>
      </c>
      <c r="G2" s="78" t="s">
        <v>14</v>
      </c>
      <c r="H2" s="78" t="s">
        <v>14</v>
      </c>
      <c r="I2" s="78" t="s">
        <v>14</v>
      </c>
      <c r="J2" s="78" t="s">
        <v>14</v>
      </c>
      <c r="K2" s="78" t="s">
        <v>28</v>
      </c>
      <c r="L2" s="78" t="s">
        <v>28</v>
      </c>
    </row>
    <row r="3" spans="1:12">
      <c r="A3" s="78" t="s">
        <v>8</v>
      </c>
      <c r="B3" s="78" t="s">
        <v>9</v>
      </c>
      <c r="C3" s="78" t="s">
        <v>14</v>
      </c>
      <c r="D3" s="78" t="s">
        <v>14</v>
      </c>
      <c r="E3" s="78" t="s">
        <v>29</v>
      </c>
      <c r="F3" s="78" t="s">
        <v>29</v>
      </c>
      <c r="G3" s="78" t="s">
        <v>29</v>
      </c>
      <c r="H3" s="78" t="s">
        <v>29</v>
      </c>
      <c r="I3" s="78" t="s">
        <v>29</v>
      </c>
      <c r="J3" s="78" t="s">
        <v>29</v>
      </c>
      <c r="K3" s="78" t="s">
        <v>29</v>
      </c>
      <c r="L3" s="78" t="s">
        <v>29</v>
      </c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9"/>
  <sheetViews>
    <sheetView topLeftCell="A12" workbookViewId="0">
      <selection activeCell="B24" sqref="B24:E30"/>
    </sheetView>
  </sheetViews>
  <sheetFormatPr defaultRowHeight="15"/>
  <cols>
    <col min="1" max="1" width="12.5703125" style="9" bestFit="1" customWidth="1"/>
    <col min="2" max="2" width="31.7109375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25</v>
      </c>
    </row>
    <row r="2" spans="1:7">
      <c r="A2" s="9" t="str">
        <f>TEXT(A1,"0.00")</f>
        <v>3.08</v>
      </c>
      <c r="B2" s="9" t="str">
        <f>VLOOKUP(A$2, Eixo[], 3, FALSE)</f>
        <v>A respeito da Missão da UFPR, considere as seguintes questões: [Aderência e coerência da Missão em face da realidade local e regional]</v>
      </c>
    </row>
    <row r="3" spans="1:7">
      <c r="A3" s="9" t="s">
        <v>155</v>
      </c>
      <c r="B3" s="10" t="str">
        <f>VLOOKUP(A$2, Eixo[], 4, FALSE)</f>
        <v>Eixo3: Questão 8</v>
      </c>
      <c r="C3" s="10"/>
      <c r="D3" s="10"/>
    </row>
    <row r="5" spans="1:7">
      <c r="B5" s="7" t="s">
        <v>156</v>
      </c>
      <c r="C5" s="7" t="s">
        <v>157</v>
      </c>
      <c r="D5" s="7" t="s">
        <v>158</v>
      </c>
      <c r="E5" s="7" t="s">
        <v>159</v>
      </c>
      <c r="F5" s="8" t="s">
        <v>160</v>
      </c>
      <c r="G5" s="8" t="s">
        <v>161</v>
      </c>
    </row>
    <row r="6" spans="1:7">
      <c r="B6" s="9" t="s">
        <v>162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13</v>
      </c>
      <c r="C7" s="10">
        <f>COUNTIFS(Resp3[Vínculo],"tecnico",Resp3[3.08],B7)</f>
        <v>0</v>
      </c>
      <c r="D7" s="10">
        <f>COUNTIFS(Resp3[Vínculo],"docente",Resp3[3.08],B7)</f>
        <v>0</v>
      </c>
      <c r="E7" s="10">
        <f>COUNTIF(Resp3[3.08],B7)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163</v>
      </c>
      <c r="C8" s="10">
        <f>COUNTIFS(Resp3[Vínculo],"tecnico",Resp3[3.08],B8)</f>
        <v>0</v>
      </c>
      <c r="D8" s="10">
        <f>COUNTIFS(Resp3[Vínculo],"docente",Resp3[3.08],B8)</f>
        <v>0</v>
      </c>
      <c r="E8" s="10">
        <f>COUNTIF(Resp3[3.08],B8)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</v>
      </c>
      <c r="C9" s="10">
        <f>COUNTIFS(Resp3[Vínculo],"tecnico",Resp3[3.08],B9)</f>
        <v>0</v>
      </c>
      <c r="D9" s="10">
        <f>COUNTIFS(Resp3[Vínculo],"docente",Resp3[3.08],B9)</f>
        <v>0</v>
      </c>
      <c r="E9" s="10">
        <f>COUNTIF(Resp3[3.08],B9)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29</v>
      </c>
      <c r="C10" s="10">
        <f>COUNTIFS(Resp3[Vínculo],"tecnico",Resp3[3.08],B10)</f>
        <v>1</v>
      </c>
      <c r="D10" s="10">
        <f>COUNTIFS(Resp3[Vínculo],"docente",Resp3[3.08],B10)</f>
        <v>0</v>
      </c>
      <c r="E10" s="10">
        <f>COUNTIF(Resp3[3.08],B10)</f>
        <v>1</v>
      </c>
      <c r="F10" s="25">
        <f t="shared" si="0"/>
        <v>50</v>
      </c>
      <c r="G10" s="25">
        <f t="shared" si="1"/>
        <v>50</v>
      </c>
    </row>
    <row r="11" spans="1:7">
      <c r="B11" s="9" t="s">
        <v>14</v>
      </c>
      <c r="C11" s="10">
        <f>COUNTIFS(Resp3[Vínculo],"tecnico",Resp3[3.08],B11)</f>
        <v>1</v>
      </c>
      <c r="D11" s="10">
        <f>COUNTIFS(Resp3[Vínculo],"docente",Resp3[3.08],B11)</f>
        <v>0</v>
      </c>
      <c r="E11" s="10">
        <f>COUNTIF(Resp3[3.08],B11)</f>
        <v>1</v>
      </c>
      <c r="F11" s="25">
        <f t="shared" si="0"/>
        <v>50</v>
      </c>
      <c r="G11" s="25">
        <f t="shared" si="1"/>
        <v>50</v>
      </c>
    </row>
    <row r="12" spans="1:7">
      <c r="B12" s="26" t="s">
        <v>28</v>
      </c>
      <c r="C12" s="10">
        <f>COUNTIFS(Resp3[Vínculo],"tecnico",Resp3[3.08],B12)</f>
        <v>0</v>
      </c>
      <c r="D12" s="10">
        <f>COUNTIFS(Resp3[Vínculo],"docente",Resp3[3.08],B12)</f>
        <v>0</v>
      </c>
      <c r="E12" s="10">
        <f>COUNTIF(Resp3[3.08],B12)</f>
        <v>0</v>
      </c>
      <c r="F12" s="100">
        <f t="shared" si="0"/>
        <v>0</v>
      </c>
      <c r="G12" s="25">
        <f t="shared" si="1"/>
        <v>0</v>
      </c>
    </row>
    <row r="13" spans="1:7">
      <c r="B13" s="27" t="s">
        <v>164</v>
      </c>
      <c r="C13" s="11">
        <f>SUM(C6:C12)</f>
        <v>2</v>
      </c>
      <c r="D13" s="11">
        <f>SUM(D6:D12)</f>
        <v>0</v>
      </c>
      <c r="E13" s="11">
        <f>SUM(C13:D13)</f>
        <v>2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172</v>
      </c>
      <c r="C18" s="26" t="s">
        <v>173</v>
      </c>
      <c r="D18" s="48" t="s">
        <v>157</v>
      </c>
      <c r="E18" s="50" t="s">
        <v>160</v>
      </c>
      <c r="F18" s="15"/>
      <c r="G18" s="10"/>
    </row>
    <row r="19" spans="2:7">
      <c r="B19" s="29" t="s">
        <v>82</v>
      </c>
      <c r="C19" s="29" t="s">
        <v>81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179</v>
      </c>
      <c r="C20" s="30" t="s">
        <v>74</v>
      </c>
      <c r="D20" s="15">
        <f>C7</f>
        <v>0</v>
      </c>
      <c r="E20" s="44">
        <f>ROUND(D20/SUM(D$19:D$22)*100,3)</f>
        <v>0</v>
      </c>
    </row>
    <row r="21" spans="2:7">
      <c r="B21" s="31" t="s">
        <v>29</v>
      </c>
      <c r="C21" s="31" t="s">
        <v>86</v>
      </c>
      <c r="D21" s="15">
        <f>C10</f>
        <v>1</v>
      </c>
      <c r="E21" s="44">
        <f>ROUND(D21/SUM(D$19:D$22)*100,3)</f>
        <v>50</v>
      </c>
    </row>
    <row r="22" spans="2:7">
      <c r="B22" s="32" t="s">
        <v>92</v>
      </c>
      <c r="C22" s="32" t="s">
        <v>91</v>
      </c>
      <c r="D22" s="33">
        <f>SUM(C11:C12)</f>
        <v>1</v>
      </c>
      <c r="E22" s="45">
        <f>ROUND(D22/SUM(D$19:D$22)*100,3)</f>
        <v>50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9"/>
  <sheetViews>
    <sheetView topLeftCell="A11" workbookViewId="0">
      <selection activeCell="B24" sqref="B24:E30"/>
    </sheetView>
  </sheetViews>
  <sheetFormatPr defaultRowHeight="15"/>
  <cols>
    <col min="1" max="1" width="12.5703125" style="9" bestFit="1" customWidth="1"/>
    <col min="2" max="2" width="32.7109375" style="9" customWidth="1"/>
    <col min="3" max="3" width="18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26</v>
      </c>
    </row>
    <row r="2" spans="1:7">
      <c r="A2" s="9" t="str">
        <f>TEXT(A1,"0.00")</f>
        <v>3.09</v>
      </c>
      <c r="B2" s="9" t="str">
        <f>VLOOKUP(A$2, Eixo[], 3, FALSE)</f>
        <v>A respeito da Missão da UFPR, considere as seguintes questões: [Reconhecimento da sociedade ou comunidade sobre a importância da UFPR por meio de sua missão e valores]</v>
      </c>
    </row>
    <row r="3" spans="1:7">
      <c r="A3" s="9" t="s">
        <v>155</v>
      </c>
      <c r="B3" s="10" t="str">
        <f>VLOOKUP(A$2, Eixo[], 4, FALSE)</f>
        <v>Eixo3: Questão 9</v>
      </c>
      <c r="C3" s="10"/>
      <c r="D3" s="10"/>
    </row>
    <row r="5" spans="1:7">
      <c r="B5" s="7" t="s">
        <v>156</v>
      </c>
      <c r="C5" s="7" t="s">
        <v>157</v>
      </c>
      <c r="D5" s="7" t="s">
        <v>158</v>
      </c>
      <c r="E5" s="7" t="s">
        <v>159</v>
      </c>
      <c r="F5" s="8" t="s">
        <v>160</v>
      </c>
      <c r="G5" s="8" t="s">
        <v>161</v>
      </c>
    </row>
    <row r="6" spans="1:7">
      <c r="B6" s="9" t="s">
        <v>162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13</v>
      </c>
      <c r="C7" s="10">
        <f>COUNTIFS(Resp3[Vínculo],"tecnico",Resp3[3.09],B7)</f>
        <v>0</v>
      </c>
      <c r="D7" s="10">
        <f>COUNTIFS(Resp3[Vínculo],"docente",Resp3[3.09],B7)</f>
        <v>0</v>
      </c>
      <c r="E7" s="10">
        <f>COUNTIF(Resp3[3.09],B7)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163</v>
      </c>
      <c r="C8" s="10">
        <f>COUNTIFS(Resp3[Vínculo],"tecnico",Resp3[3.09],B8)</f>
        <v>0</v>
      </c>
      <c r="D8" s="10">
        <f>COUNTIFS(Resp3[Vínculo],"docente",Resp3[3.09],B8)</f>
        <v>0</v>
      </c>
      <c r="E8" s="10">
        <f>COUNTIF(Resp3[3.09],B8)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</v>
      </c>
      <c r="C9" s="10">
        <f>COUNTIFS(Resp3[Vínculo],"tecnico",Resp3[3.09],B9)</f>
        <v>0</v>
      </c>
      <c r="D9" s="10">
        <f>COUNTIFS(Resp3[Vínculo],"docente",Resp3[3.09],B9)</f>
        <v>0</v>
      </c>
      <c r="E9" s="10">
        <f>COUNTIF(Resp3[3.09],B9)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29</v>
      </c>
      <c r="C10" s="10">
        <f>COUNTIFS(Resp3[Vínculo],"tecnico",Resp3[3.09],B10)</f>
        <v>1</v>
      </c>
      <c r="D10" s="10">
        <f>COUNTIFS(Resp3[Vínculo],"docente",Resp3[3.09],B10)</f>
        <v>0</v>
      </c>
      <c r="E10" s="10">
        <f>COUNTIF(Resp3[3.09],B10)</f>
        <v>1</v>
      </c>
      <c r="F10" s="25">
        <f t="shared" si="0"/>
        <v>50</v>
      </c>
      <c r="G10" s="25">
        <f t="shared" si="1"/>
        <v>50</v>
      </c>
    </row>
    <row r="11" spans="1:7">
      <c r="B11" s="9" t="s">
        <v>14</v>
      </c>
      <c r="C11" s="10">
        <f>COUNTIFS(Resp3[Vínculo],"tecnico",Resp3[3.09],B11)</f>
        <v>0</v>
      </c>
      <c r="D11" s="10">
        <f>COUNTIFS(Resp3[Vínculo],"docente",Resp3[3.09],B11)</f>
        <v>0</v>
      </c>
      <c r="E11" s="10">
        <f>COUNTIF(Resp3[3.09],B11)</f>
        <v>0</v>
      </c>
      <c r="F11" s="25">
        <f t="shared" si="0"/>
        <v>0</v>
      </c>
      <c r="G11" s="25">
        <f t="shared" si="1"/>
        <v>0</v>
      </c>
    </row>
    <row r="12" spans="1:7">
      <c r="B12" s="26" t="s">
        <v>28</v>
      </c>
      <c r="C12" s="10">
        <f>COUNTIFS(Resp3[Vínculo],"tecnico",Resp3[3.09],B12)</f>
        <v>1</v>
      </c>
      <c r="D12" s="10">
        <f>COUNTIFS(Resp3[Vínculo],"docente",Resp3[3.09],B12)</f>
        <v>0</v>
      </c>
      <c r="E12" s="10">
        <f>COUNTIF(Resp3[3.09],B12)</f>
        <v>1</v>
      </c>
      <c r="F12" s="100">
        <f t="shared" si="0"/>
        <v>50</v>
      </c>
      <c r="G12" s="25">
        <f t="shared" si="1"/>
        <v>50</v>
      </c>
    </row>
    <row r="13" spans="1:7">
      <c r="B13" s="27" t="s">
        <v>164</v>
      </c>
      <c r="C13" s="11">
        <f>SUM(C6:C12)</f>
        <v>2</v>
      </c>
      <c r="D13" s="11">
        <f>SUM(D6:D12)</f>
        <v>0</v>
      </c>
      <c r="E13" s="11">
        <f>SUM(C13:D13)</f>
        <v>2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172</v>
      </c>
      <c r="C18" s="22" t="s">
        <v>173</v>
      </c>
      <c r="D18" s="7" t="s">
        <v>157</v>
      </c>
      <c r="E18" s="35" t="s">
        <v>160</v>
      </c>
      <c r="F18" s="15"/>
      <c r="G18" s="10"/>
    </row>
    <row r="19" spans="2:7">
      <c r="B19" s="29" t="s">
        <v>82</v>
      </c>
      <c r="C19" s="29" t="s">
        <v>81</v>
      </c>
      <c r="D19" s="15">
        <f>SUM(C8:C9)</f>
        <v>0</v>
      </c>
      <c r="E19" s="12">
        <f>ROUND(D19/SUM(D$19:D$22)*100,3)</f>
        <v>0</v>
      </c>
      <c r="F19" s="15"/>
      <c r="G19" s="10"/>
    </row>
    <row r="20" spans="2:7">
      <c r="B20" s="30" t="s">
        <v>179</v>
      </c>
      <c r="C20" s="30" t="s">
        <v>74</v>
      </c>
      <c r="D20" s="15">
        <f>C7</f>
        <v>0</v>
      </c>
      <c r="E20" s="10">
        <f>ROUND(D20/SUM(D$19:D$22)*100,3)</f>
        <v>0</v>
      </c>
    </row>
    <row r="21" spans="2:7">
      <c r="B21" s="31" t="s">
        <v>29</v>
      </c>
      <c r="C21" s="31" t="s">
        <v>86</v>
      </c>
      <c r="D21" s="15">
        <f>C10</f>
        <v>1</v>
      </c>
      <c r="E21" s="10">
        <f>ROUND(D21/SUM(D$19:D$22)*100,3)</f>
        <v>50</v>
      </c>
    </row>
    <row r="22" spans="2:7">
      <c r="B22" s="32" t="s">
        <v>92</v>
      </c>
      <c r="C22" s="32" t="s">
        <v>91</v>
      </c>
      <c r="D22" s="33">
        <f>SUM(C11:C12)</f>
        <v>1</v>
      </c>
      <c r="E22" s="34">
        <f>ROUND(D22/SUM(D$19:D$22)*100,3)</f>
        <v>50</v>
      </c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9"/>
  <sheetViews>
    <sheetView topLeftCell="A12" workbookViewId="0">
      <selection activeCell="K31" sqref="K31"/>
    </sheetView>
  </sheetViews>
  <sheetFormatPr defaultRowHeight="15"/>
  <cols>
    <col min="1" max="1" width="12.5703125" style="9" bestFit="1" customWidth="1"/>
    <col min="2" max="2" width="31.85546875" style="9" customWidth="1"/>
    <col min="3" max="3" width="16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27</v>
      </c>
    </row>
    <row r="2" spans="1:7">
      <c r="A2" s="9" t="str">
        <f>TEXT(A1,"0.00")</f>
        <v>3.10</v>
      </c>
      <c r="B2" s="9" t="str">
        <f>VLOOKUP(A$2, Eixo[], 3, FALSE)</f>
        <v>A respeito da Missão da UFPR, considere as seguintes questões: [Articulação entre a Missão e os projetos e as políticas institucionais]</v>
      </c>
    </row>
    <row r="3" spans="1:7">
      <c r="A3" s="9" t="s">
        <v>155</v>
      </c>
      <c r="B3" s="10" t="str">
        <f>VLOOKUP(A$2, Eixo[], 4, FALSE)</f>
        <v>Eixo3: Questão 10</v>
      </c>
      <c r="C3" s="10"/>
      <c r="D3" s="10"/>
    </row>
    <row r="5" spans="1:7">
      <c r="B5" s="7" t="s">
        <v>156</v>
      </c>
      <c r="C5" s="7" t="s">
        <v>157</v>
      </c>
      <c r="D5" s="7" t="s">
        <v>158</v>
      </c>
      <c r="E5" s="7" t="s">
        <v>159</v>
      </c>
      <c r="F5" s="8" t="s">
        <v>160</v>
      </c>
      <c r="G5" s="8" t="s">
        <v>161</v>
      </c>
    </row>
    <row r="6" spans="1:7">
      <c r="B6" s="9" t="s">
        <v>162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13</v>
      </c>
      <c r="C7" s="10">
        <f>COUNTIFS(Resp3[Vínculo],"tecnico",Resp3[3.10],B7)</f>
        <v>0</v>
      </c>
      <c r="D7" s="10">
        <f>COUNTIFS(Resp3[Vínculo],"docente",Resp3[3.10],B7)</f>
        <v>0</v>
      </c>
      <c r="E7" s="10">
        <f>COUNTIF(Resp3[3.10],B7)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163</v>
      </c>
      <c r="C8" s="10">
        <f>COUNTIFS(Resp3[Vínculo],"tecnico",Resp3[3.10],B8)</f>
        <v>0</v>
      </c>
      <c r="D8" s="10">
        <f>COUNTIFS(Resp3[Vínculo],"docente",Resp3[3.10],B8)</f>
        <v>0</v>
      </c>
      <c r="E8" s="10">
        <f>COUNTIF(Resp3[3.10],B8)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</v>
      </c>
      <c r="C9" s="10">
        <f>COUNTIFS(Resp3[Vínculo],"tecnico",Resp3[3.10],B9)</f>
        <v>0</v>
      </c>
      <c r="D9" s="10">
        <f>COUNTIFS(Resp3[Vínculo],"docente",Resp3[3.10],B9)</f>
        <v>0</v>
      </c>
      <c r="E9" s="10">
        <f>COUNTIF(Resp3[3.10],B9)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29</v>
      </c>
      <c r="C10" s="10">
        <f>COUNTIFS(Resp3[Vínculo],"tecnico",Resp3[3.10],B10)</f>
        <v>1</v>
      </c>
      <c r="D10" s="10">
        <f>COUNTIFS(Resp3[Vínculo],"docente",Resp3[3.10],B10)</f>
        <v>0</v>
      </c>
      <c r="E10" s="10">
        <f>COUNTIF(Resp3[3.10],B10)</f>
        <v>1</v>
      </c>
      <c r="F10" s="25">
        <f t="shared" si="0"/>
        <v>50</v>
      </c>
      <c r="G10" s="25">
        <f t="shared" si="1"/>
        <v>50</v>
      </c>
    </row>
    <row r="11" spans="1:7">
      <c r="B11" s="9" t="s">
        <v>14</v>
      </c>
      <c r="C11" s="10">
        <f>COUNTIFS(Resp3[Vínculo],"tecnico",Resp3[3.10],B11)</f>
        <v>0</v>
      </c>
      <c r="D11" s="10">
        <f>COUNTIFS(Resp3[Vínculo],"docente",Resp3[3.10],B11)</f>
        <v>0</v>
      </c>
      <c r="E11" s="10">
        <f>COUNTIF(Resp3[3.10],B11)</f>
        <v>0</v>
      </c>
      <c r="F11" s="25">
        <f t="shared" si="0"/>
        <v>0</v>
      </c>
      <c r="G11" s="25">
        <f t="shared" si="1"/>
        <v>0</v>
      </c>
    </row>
    <row r="12" spans="1:7">
      <c r="B12" s="26" t="s">
        <v>28</v>
      </c>
      <c r="C12" s="10">
        <f>COUNTIFS(Resp3[Vínculo],"tecnico",Resp3[3.10],B12)</f>
        <v>1</v>
      </c>
      <c r="D12" s="10">
        <f>COUNTIFS(Resp3[Vínculo],"docente",Resp3[3.10],B12)</f>
        <v>0</v>
      </c>
      <c r="E12" s="10">
        <f>COUNTIF(Resp3[3.10],B12)</f>
        <v>1</v>
      </c>
      <c r="F12" s="100">
        <f t="shared" si="0"/>
        <v>50</v>
      </c>
      <c r="G12" s="25">
        <f t="shared" si="1"/>
        <v>50</v>
      </c>
    </row>
    <row r="13" spans="1:7">
      <c r="B13" s="27" t="s">
        <v>164</v>
      </c>
      <c r="C13" s="11">
        <f>SUM(C6:C12)</f>
        <v>2</v>
      </c>
      <c r="D13" s="11">
        <f>SUM(D6:D12)</f>
        <v>0</v>
      </c>
      <c r="E13" s="11">
        <f>SUM(C13:D13)</f>
        <v>2</v>
      </c>
      <c r="F13" s="103">
        <f t="shared" si="0"/>
        <v>100</v>
      </c>
      <c r="G13" s="105">
        <f>SUM(G7:G12)</f>
        <v>100</v>
      </c>
    </row>
    <row r="18" spans="2:5">
      <c r="B18" s="22" t="s">
        <v>172</v>
      </c>
      <c r="C18" s="22" t="s">
        <v>173</v>
      </c>
      <c r="D18" s="7" t="s">
        <v>157</v>
      </c>
      <c r="E18" s="35" t="s">
        <v>160</v>
      </c>
    </row>
    <row r="19" spans="2:5">
      <c r="B19" s="29" t="s">
        <v>82</v>
      </c>
      <c r="C19" s="29" t="s">
        <v>81</v>
      </c>
      <c r="D19" s="15">
        <f>SUM(C8:C9)</f>
        <v>0</v>
      </c>
      <c r="E19" s="12">
        <f>ROUND(D19/SUM(D$19:D$22)*100,3)</f>
        <v>0</v>
      </c>
    </row>
    <row r="20" spans="2:5">
      <c r="B20" s="30" t="s">
        <v>179</v>
      </c>
      <c r="C20" s="30" t="s">
        <v>74</v>
      </c>
      <c r="D20" s="15">
        <f>C7</f>
        <v>0</v>
      </c>
      <c r="E20" s="10">
        <f>ROUND(D20/SUM(D$19:D$22)*100,3)</f>
        <v>0</v>
      </c>
    </row>
    <row r="21" spans="2:5">
      <c r="B21" s="31" t="s">
        <v>29</v>
      </c>
      <c r="C21" s="31" t="s">
        <v>86</v>
      </c>
      <c r="D21" s="15">
        <f>C10</f>
        <v>1</v>
      </c>
      <c r="E21" s="10">
        <f>ROUND(D21/SUM(D$19:D$22)*100,3)</f>
        <v>50</v>
      </c>
    </row>
    <row r="22" spans="2:5">
      <c r="B22" s="32" t="s">
        <v>92</v>
      </c>
      <c r="C22" s="32" t="s">
        <v>91</v>
      </c>
      <c r="D22" s="33">
        <f>SUM(C11:C12)</f>
        <v>1</v>
      </c>
      <c r="E22" s="34">
        <f>ROUND(D22/SUM(D$19:D$22)*100,3)</f>
        <v>50</v>
      </c>
    </row>
    <row r="25" spans="2:5">
      <c r="D25" s="129"/>
      <c r="E25" s="130"/>
    </row>
    <row r="26" spans="2:5">
      <c r="D26" s="15"/>
      <c r="E26" s="44"/>
    </row>
    <row r="27" spans="2:5">
      <c r="D27" s="15"/>
      <c r="E27" s="44"/>
    </row>
    <row r="28" spans="2:5">
      <c r="D28" s="15"/>
      <c r="E28" s="44"/>
    </row>
    <row r="29" spans="2:5">
      <c r="D29" s="15"/>
      <c r="E29" s="4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2"/>
  <sheetViews>
    <sheetView showGridLines="0" tabSelected="1" topLeftCell="D26" zoomScaleNormal="100" workbookViewId="0">
      <selection activeCell="A35" sqref="A35:XFD62"/>
    </sheetView>
  </sheetViews>
  <sheetFormatPr defaultRowHeight="15"/>
  <cols>
    <col min="1" max="1" width="21.28515625" style="53" customWidth="1"/>
    <col min="2" max="2" width="30.42578125" style="53" customWidth="1"/>
    <col min="3" max="3" width="26.140625" style="53" customWidth="1"/>
    <col min="4" max="4" width="25.85546875" style="53" customWidth="1"/>
    <col min="5" max="7" width="26.42578125" style="53" customWidth="1"/>
    <col min="8" max="8" width="45.140625" style="53" bestFit="1" customWidth="1"/>
    <col min="9" max="9" width="26.42578125" style="53" customWidth="1"/>
    <col min="10" max="10" width="37.140625" style="53" customWidth="1"/>
    <col min="11" max="16384" width="9.140625" style="53"/>
  </cols>
  <sheetData>
    <row r="1" spans="1:15" ht="15.75">
      <c r="A1" s="52" t="s">
        <v>30</v>
      </c>
    </row>
    <row r="2" spans="1:15" ht="15.75">
      <c r="A2" s="52"/>
    </row>
    <row r="3" spans="1:15">
      <c r="A3" s="53" t="s">
        <v>31</v>
      </c>
    </row>
    <row r="5" spans="1:15">
      <c r="A5" s="113" t="s">
        <v>32</v>
      </c>
      <c r="B5" s="114" t="s">
        <v>33</v>
      </c>
      <c r="C5" s="114"/>
      <c r="D5" s="114"/>
      <c r="E5" s="114"/>
      <c r="F5" s="114"/>
      <c r="G5" s="115"/>
    </row>
    <row r="6" spans="1:15">
      <c r="A6" s="116" t="s">
        <v>34</v>
      </c>
      <c r="B6" s="53" t="s">
        <v>35</v>
      </c>
      <c r="G6" s="117"/>
    </row>
    <row r="7" spans="1:15">
      <c r="A7" s="116" t="s">
        <v>36</v>
      </c>
      <c r="B7" s="53" t="s">
        <v>37</v>
      </c>
      <c r="G7" s="117"/>
    </row>
    <row r="8" spans="1:15">
      <c r="A8" s="116" t="s">
        <v>38</v>
      </c>
      <c r="B8" s="53" t="s">
        <v>39</v>
      </c>
      <c r="G8" s="117"/>
    </row>
    <row r="9" spans="1:15">
      <c r="A9" s="116" t="s">
        <v>40</v>
      </c>
      <c r="B9" s="53" t="s">
        <v>41</v>
      </c>
      <c r="G9" s="117"/>
    </row>
    <row r="10" spans="1:15">
      <c r="A10" s="118" t="s">
        <v>42</v>
      </c>
      <c r="B10" s="119" t="s">
        <v>43</v>
      </c>
      <c r="C10" s="119"/>
      <c r="D10" s="119"/>
      <c r="E10" s="119"/>
      <c r="F10" s="119"/>
      <c r="G10" s="120"/>
    </row>
    <row r="12" spans="1:15" ht="15.75">
      <c r="A12" s="122" t="s">
        <v>44</v>
      </c>
      <c r="B12" s="122"/>
      <c r="C12" s="122"/>
      <c r="D12" s="122"/>
      <c r="E12" s="122"/>
      <c r="F12" s="122"/>
      <c r="H12" s="81"/>
      <c r="I12" s="81"/>
      <c r="J12" s="81"/>
      <c r="K12" s="82"/>
      <c r="L12" s="82"/>
      <c r="M12" s="82"/>
      <c r="N12" s="82"/>
      <c r="O12" s="82"/>
    </row>
    <row r="13" spans="1:15">
      <c r="A13" s="73" t="s">
        <v>45</v>
      </c>
      <c r="B13" s="54" t="s">
        <v>46</v>
      </c>
      <c r="H13" s="89"/>
      <c r="I13" s="89"/>
      <c r="J13" s="89"/>
      <c r="K13" s="89"/>
      <c r="L13" s="90"/>
      <c r="M13" s="90"/>
      <c r="N13" s="82"/>
      <c r="O13" s="82"/>
    </row>
    <row r="14" spans="1:15">
      <c r="A14" s="73" t="s">
        <v>47</v>
      </c>
      <c r="B14" s="54" t="s">
        <v>48</v>
      </c>
      <c r="H14" s="91"/>
      <c r="I14" s="82"/>
      <c r="J14" s="82"/>
      <c r="K14" s="82"/>
      <c r="L14" s="92"/>
      <c r="M14" s="92"/>
      <c r="N14" s="82"/>
      <c r="O14" s="82"/>
    </row>
    <row r="15" spans="1:15">
      <c r="A15" s="73" t="s">
        <v>49</v>
      </c>
      <c r="B15" s="54" t="s">
        <v>50</v>
      </c>
      <c r="H15" s="91"/>
      <c r="I15" s="82"/>
      <c r="J15" s="82"/>
      <c r="K15" s="82"/>
      <c r="L15" s="92"/>
      <c r="M15" s="92"/>
      <c r="N15" s="82"/>
      <c r="O15" s="82"/>
    </row>
    <row r="16" spans="1:15">
      <c r="A16" s="73" t="s">
        <v>51</v>
      </c>
      <c r="B16" s="54" t="s">
        <v>52</v>
      </c>
      <c r="H16" s="81"/>
      <c r="I16" s="82"/>
      <c r="J16" s="82"/>
      <c r="K16" s="82"/>
      <c r="L16" s="92"/>
      <c r="M16" s="92"/>
      <c r="N16" s="82"/>
      <c r="O16" s="82"/>
    </row>
    <row r="17" spans="1:15">
      <c r="A17" s="74" t="s">
        <v>53</v>
      </c>
      <c r="B17" s="54" t="s">
        <v>54</v>
      </c>
      <c r="H17" s="88"/>
      <c r="I17" s="82"/>
      <c r="J17" s="82"/>
      <c r="K17" s="82"/>
      <c r="L17" s="82"/>
      <c r="M17" s="82"/>
      <c r="N17" s="82"/>
      <c r="O17" s="82"/>
    </row>
    <row r="18" spans="1:15">
      <c r="H18" s="82"/>
      <c r="I18" s="82"/>
      <c r="J18" s="82"/>
      <c r="K18" s="82"/>
      <c r="L18" s="82"/>
      <c r="M18" s="82"/>
      <c r="N18" s="82"/>
      <c r="O18" s="82"/>
    </row>
    <row r="19" spans="1:15">
      <c r="A19" s="53" t="s">
        <v>55</v>
      </c>
    </row>
    <row r="21" spans="1:15">
      <c r="A21" s="53" t="s">
        <v>56</v>
      </c>
    </row>
    <row r="24" spans="1:15">
      <c r="A24" s="81" t="s">
        <v>57</v>
      </c>
    </row>
    <row r="25" spans="1:15" s="80" customFormat="1">
      <c r="A25" s="83"/>
      <c r="B25" s="83" t="s">
        <v>34</v>
      </c>
      <c r="C25" s="83" t="s">
        <v>36</v>
      </c>
      <c r="D25" s="83" t="s">
        <v>58</v>
      </c>
      <c r="E25" s="84" t="s">
        <v>59</v>
      </c>
      <c r="F25" s="84" t="s">
        <v>60</v>
      </c>
    </row>
    <row r="26" spans="1:15">
      <c r="A26" s="123" t="s">
        <v>8</v>
      </c>
      <c r="B26" s="85">
        <f>COUNTIF(Resp2[Vínculo],A26)</f>
        <v>2</v>
      </c>
      <c r="C26" s="85">
        <f>COUNTIF(Resp3[Vínculo],A26)</f>
        <v>2</v>
      </c>
      <c r="D26" s="85">
        <v>3</v>
      </c>
      <c r="E26" s="86">
        <f>ROUND(B26/$D26*100,3)</f>
        <v>66.667000000000002</v>
      </c>
      <c r="F26" s="86">
        <f>ROUND(C26/$D26*100,3)</f>
        <v>66.667000000000002</v>
      </c>
    </row>
    <row r="27" spans="1:15">
      <c r="A27" s="87" t="s">
        <v>61</v>
      </c>
      <c r="B27" s="85">
        <f>SUM(B26:B26)</f>
        <v>2</v>
      </c>
      <c r="C27" s="85">
        <f>SUM(C26:C26)</f>
        <v>2</v>
      </c>
      <c r="D27" s="85">
        <f>SUM(D26:D26)</f>
        <v>3</v>
      </c>
      <c r="E27" s="86">
        <f t="shared" ref="E27" si="0">ROUND(B27/$D27*100,3)</f>
        <v>66.667000000000002</v>
      </c>
      <c r="F27" s="86">
        <f t="shared" ref="F27" si="1">ROUND(C27/$D27*100,3)</f>
        <v>66.667000000000002</v>
      </c>
    </row>
    <row r="28" spans="1:15">
      <c r="A28" s="88">
        <v>1</v>
      </c>
      <c r="B28" s="131" t="s">
        <v>62</v>
      </c>
      <c r="C28" s="131"/>
      <c r="D28" s="131"/>
      <c r="E28" s="131"/>
      <c r="F28" s="131"/>
      <c r="G28" s="131"/>
      <c r="H28" s="131"/>
      <c r="I28" s="131"/>
      <c r="J28" s="131"/>
      <c r="K28" s="131"/>
      <c r="L28" s="131"/>
    </row>
    <row r="29" spans="1:15">
      <c r="A29" s="88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</row>
    <row r="30" spans="1:15">
      <c r="A30" s="88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</row>
    <row r="31" spans="1:15" ht="15.75">
      <c r="A31" s="127" t="s">
        <v>63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</row>
    <row r="32" spans="1:15">
      <c r="A32" s="53" t="s">
        <v>64</v>
      </c>
    </row>
    <row r="33" spans="1:11">
      <c r="A33" s="53" t="s">
        <v>65</v>
      </c>
    </row>
    <row r="35" spans="1:11" ht="15.75">
      <c r="A35" s="57" t="s">
        <v>66</v>
      </c>
      <c r="B35" s="57" t="s">
        <v>67</v>
      </c>
      <c r="C35" s="57" t="s">
        <v>68</v>
      </c>
      <c r="D35" s="57" t="s">
        <v>69</v>
      </c>
      <c r="E35" s="57" t="s">
        <v>70</v>
      </c>
      <c r="G35" s="56" t="s">
        <v>46</v>
      </c>
      <c r="H35" s="55"/>
      <c r="K35" s="55"/>
    </row>
    <row r="36" spans="1:11" ht="15.75">
      <c r="A36" s="63" t="s">
        <v>71</v>
      </c>
      <c r="B36" s="133" t="s">
        <v>72</v>
      </c>
      <c r="C36" s="134" t="s">
        <v>73</v>
      </c>
      <c r="D36" s="63"/>
      <c r="E36" s="63"/>
      <c r="G36" s="58" t="s">
        <v>74</v>
      </c>
      <c r="H36" s="58" t="s">
        <v>75</v>
      </c>
      <c r="K36" s="55"/>
    </row>
    <row r="37" spans="1:11" ht="15.75">
      <c r="A37" s="63" t="s">
        <v>76</v>
      </c>
      <c r="B37" s="135" t="s">
        <v>77</v>
      </c>
      <c r="C37" s="135" t="s">
        <v>78</v>
      </c>
      <c r="D37" s="63" t="s">
        <v>79</v>
      </c>
      <c r="E37" s="63" t="s">
        <v>80</v>
      </c>
      <c r="G37" s="59" t="s">
        <v>81</v>
      </c>
      <c r="H37" s="136" t="s">
        <v>82</v>
      </c>
      <c r="K37" s="55"/>
    </row>
    <row r="38" spans="1:11" ht="15.75">
      <c r="A38" s="63" t="s">
        <v>83</v>
      </c>
      <c r="B38" s="137" t="s">
        <v>84</v>
      </c>
      <c r="C38" s="135" t="s">
        <v>85</v>
      </c>
      <c r="D38" s="63" t="s">
        <v>80</v>
      </c>
      <c r="E38" s="63"/>
      <c r="G38" s="60" t="s">
        <v>86</v>
      </c>
      <c r="H38" s="138" t="s">
        <v>29</v>
      </c>
      <c r="K38" s="55"/>
    </row>
    <row r="39" spans="1:11" ht="15.75">
      <c r="A39" s="63" t="s">
        <v>87</v>
      </c>
      <c r="B39" s="135" t="s">
        <v>88</v>
      </c>
      <c r="C39" s="135" t="s">
        <v>89</v>
      </c>
      <c r="D39" s="63" t="s">
        <v>90</v>
      </c>
      <c r="E39" s="63" t="s">
        <v>79</v>
      </c>
      <c r="G39" s="62" t="s">
        <v>91</v>
      </c>
      <c r="H39" s="139" t="s">
        <v>92</v>
      </c>
      <c r="K39" s="55"/>
    </row>
    <row r="40" spans="1:11" ht="15.75">
      <c r="A40" s="63" t="s">
        <v>93</v>
      </c>
      <c r="B40" s="137" t="s">
        <v>94</v>
      </c>
      <c r="C40" s="135" t="s">
        <v>95</v>
      </c>
      <c r="D40" s="63"/>
      <c r="E40" s="63"/>
      <c r="G40" s="55"/>
      <c r="H40" s="55"/>
      <c r="K40" s="55"/>
    </row>
    <row r="41" spans="1:11" ht="15.75">
      <c r="A41" s="63" t="s">
        <v>96</v>
      </c>
      <c r="B41" s="63" t="s">
        <v>96</v>
      </c>
      <c r="C41" s="63"/>
      <c r="D41" s="63"/>
      <c r="E41" s="63"/>
      <c r="G41" s="56" t="s">
        <v>97</v>
      </c>
      <c r="H41" s="124" t="s">
        <v>98</v>
      </c>
      <c r="K41" s="55"/>
    </row>
    <row r="42" spans="1:11" ht="15.75">
      <c r="A42" s="63" t="s">
        <v>99</v>
      </c>
      <c r="B42" s="63"/>
      <c r="C42" s="63"/>
      <c r="D42" s="63"/>
      <c r="E42" s="63"/>
      <c r="G42" s="58" t="s">
        <v>74</v>
      </c>
      <c r="H42" s="58" t="s">
        <v>100</v>
      </c>
      <c r="K42" s="55"/>
    </row>
    <row r="43" spans="1:11" ht="15.75">
      <c r="A43" s="55"/>
      <c r="B43" s="125"/>
      <c r="C43" s="126"/>
      <c r="D43" s="126"/>
      <c r="E43" s="126"/>
      <c r="F43" s="126"/>
      <c r="G43" s="59" t="s">
        <v>81</v>
      </c>
      <c r="H43" s="136" t="s">
        <v>101</v>
      </c>
      <c r="K43" s="55"/>
    </row>
    <row r="44" spans="1:11" ht="15.75">
      <c r="A44" s="55"/>
      <c r="B44" s="55"/>
      <c r="C44" s="55"/>
      <c r="D44" s="55"/>
      <c r="E44" s="55"/>
      <c r="F44" s="55"/>
      <c r="G44" s="60" t="s">
        <v>86</v>
      </c>
      <c r="H44" s="138" t="s">
        <v>102</v>
      </c>
      <c r="K44" s="55"/>
    </row>
    <row r="45" spans="1:11" ht="15.75">
      <c r="A45" s="55"/>
      <c r="B45" s="55"/>
      <c r="C45" s="140"/>
      <c r="D45" s="140"/>
      <c r="E45" s="55"/>
      <c r="F45" s="55"/>
      <c r="G45" s="62" t="s">
        <v>91</v>
      </c>
      <c r="H45" s="139" t="s">
        <v>103</v>
      </c>
      <c r="K45" s="55"/>
    </row>
    <row r="46" spans="1:11" ht="15.75">
      <c r="A46" s="55"/>
      <c r="B46" s="55"/>
      <c r="C46" s="141"/>
      <c r="D46" s="55"/>
      <c r="E46" s="55"/>
      <c r="F46" s="55"/>
      <c r="G46" s="55"/>
      <c r="H46" s="55"/>
      <c r="K46" s="55"/>
    </row>
    <row r="47" spans="1:11" ht="15.75">
      <c r="A47" s="55"/>
      <c r="B47" s="55"/>
      <c r="C47" s="141"/>
      <c r="D47" s="55"/>
      <c r="E47" s="55"/>
      <c r="F47" s="55"/>
      <c r="G47" s="56" t="s">
        <v>104</v>
      </c>
      <c r="H47" s="55"/>
      <c r="K47" s="55"/>
    </row>
    <row r="48" spans="1:11" ht="15.75">
      <c r="A48" s="55"/>
      <c r="B48" s="55"/>
      <c r="C48" s="141"/>
      <c r="D48" s="126"/>
      <c r="E48" s="55"/>
      <c r="F48" s="55"/>
      <c r="G48" s="59" t="s">
        <v>81</v>
      </c>
      <c r="H48" s="59" t="s">
        <v>105</v>
      </c>
      <c r="K48" s="55"/>
    </row>
    <row r="49" spans="1:11" ht="15.75">
      <c r="A49" s="55"/>
      <c r="B49" s="55"/>
      <c r="C49" s="141"/>
      <c r="D49" s="55"/>
      <c r="E49" s="55"/>
      <c r="F49" s="55"/>
      <c r="G49" s="60" t="s">
        <v>86</v>
      </c>
      <c r="H49" s="138" t="s">
        <v>106</v>
      </c>
      <c r="K49" s="55"/>
    </row>
    <row r="50" spans="1:11" ht="15.75">
      <c r="A50" s="55"/>
      <c r="B50" s="55"/>
      <c r="C50" s="55"/>
      <c r="D50" s="55"/>
      <c r="E50" s="55"/>
      <c r="F50" s="55"/>
      <c r="G50" s="62" t="s">
        <v>91</v>
      </c>
      <c r="H50" s="139" t="s">
        <v>107</v>
      </c>
      <c r="K50" s="55"/>
    </row>
    <row r="51" spans="1:11" ht="15.75">
      <c r="A51" s="55"/>
      <c r="B51" s="55"/>
      <c r="C51" s="55"/>
      <c r="D51" s="55"/>
      <c r="E51" s="55"/>
      <c r="F51" s="55"/>
      <c r="G51" s="55"/>
      <c r="H51" s="55"/>
      <c r="K51" s="55"/>
    </row>
    <row r="52" spans="1:11" ht="15.75">
      <c r="D52" s="55"/>
      <c r="E52" s="55"/>
      <c r="F52" s="55"/>
      <c r="G52" s="56" t="s">
        <v>108</v>
      </c>
      <c r="H52" s="55"/>
      <c r="K52" s="55"/>
    </row>
    <row r="53" spans="1:11" ht="15.75">
      <c r="D53" s="55"/>
      <c r="E53" s="55"/>
      <c r="F53" s="55"/>
      <c r="G53" s="59" t="s">
        <v>81</v>
      </c>
      <c r="H53" s="59" t="s">
        <v>90</v>
      </c>
      <c r="K53" s="55"/>
    </row>
    <row r="54" spans="1:11" ht="15.75">
      <c r="D54" s="55"/>
      <c r="E54" s="55"/>
      <c r="F54" s="55"/>
      <c r="G54" s="60" t="s">
        <v>86</v>
      </c>
      <c r="H54" s="61" t="s">
        <v>80</v>
      </c>
      <c r="K54" s="55"/>
    </row>
    <row r="55" spans="1:11" ht="15.75">
      <c r="D55" s="55"/>
      <c r="E55" s="55"/>
      <c r="F55" s="55"/>
      <c r="G55" s="62" t="s">
        <v>91</v>
      </c>
      <c r="H55" s="62" t="s">
        <v>79</v>
      </c>
    </row>
    <row r="56" spans="1:11" ht="15.75">
      <c r="D56" s="55"/>
      <c r="E56" s="55"/>
      <c r="F56" s="55"/>
      <c r="G56" s="55"/>
      <c r="H56" s="55"/>
    </row>
    <row r="57" spans="1:11" ht="15.75">
      <c r="D57" s="55"/>
      <c r="E57" s="55"/>
      <c r="F57" s="55"/>
      <c r="G57" s="56" t="s">
        <v>109</v>
      </c>
      <c r="H57" s="55"/>
    </row>
    <row r="58" spans="1:11" ht="15.75">
      <c r="D58" s="55"/>
      <c r="E58" s="55"/>
      <c r="F58" s="55"/>
      <c r="G58" s="59" t="s">
        <v>81</v>
      </c>
      <c r="H58" s="59" t="s">
        <v>79</v>
      </c>
    </row>
    <row r="59" spans="1:11" ht="15.75">
      <c r="D59" s="55"/>
      <c r="E59" s="55"/>
      <c r="F59" s="55"/>
      <c r="G59" s="62" t="s">
        <v>91</v>
      </c>
      <c r="H59" s="62" t="s">
        <v>80</v>
      </c>
    </row>
    <row r="61" spans="1:11" ht="15.75">
      <c r="G61" s="56" t="s">
        <v>110</v>
      </c>
    </row>
    <row r="62" spans="1:11" ht="15.75">
      <c r="G62" s="55" t="s">
        <v>111</v>
      </c>
      <c r="H62" s="55"/>
    </row>
  </sheetData>
  <mergeCells count="1">
    <mergeCell ref="B28:L3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Normal="100" workbookViewId="0">
      <selection activeCell="E7" sqref="E7"/>
    </sheetView>
  </sheetViews>
  <sheetFormatPr defaultColWidth="62.7109375" defaultRowHeight="15"/>
  <cols>
    <col min="1" max="1" width="19.140625" style="70" bestFit="1" customWidth="1"/>
    <col min="2" max="2" width="15.7109375" style="70" bestFit="1" customWidth="1"/>
    <col min="3" max="3" width="101.7109375" style="72" customWidth="1"/>
    <col min="4" max="4" width="16.7109375" style="72" bestFit="1" customWidth="1"/>
    <col min="5" max="16384" width="62.7109375" style="72"/>
  </cols>
  <sheetData>
    <row r="1" spans="1:5" s="66" customFormat="1">
      <c r="A1" s="64" t="s">
        <v>112</v>
      </c>
      <c r="B1" s="65" t="s">
        <v>113</v>
      </c>
      <c r="C1" s="65" t="s">
        <v>114</v>
      </c>
      <c r="D1" s="65" t="s">
        <v>115</v>
      </c>
    </row>
    <row r="2" spans="1:5" s="69" customFormat="1" ht="25.5">
      <c r="A2" s="67" t="s">
        <v>2</v>
      </c>
      <c r="B2" s="67" t="s">
        <v>49</v>
      </c>
      <c r="C2" s="68" t="s">
        <v>116</v>
      </c>
      <c r="D2" s="68" t="s">
        <v>117</v>
      </c>
    </row>
    <row r="3" spans="1:5" ht="38.25">
      <c r="A3" s="70" t="s">
        <v>3</v>
      </c>
      <c r="B3" s="70" t="s">
        <v>51</v>
      </c>
      <c r="C3" s="71" t="s">
        <v>118</v>
      </c>
      <c r="D3" s="68" t="s">
        <v>119</v>
      </c>
    </row>
    <row r="4" spans="1:5" s="69" customFormat="1">
      <c r="A4" s="67" t="s">
        <v>4</v>
      </c>
      <c r="B4" s="70" t="s">
        <v>47</v>
      </c>
      <c r="C4" s="68" t="s">
        <v>120</v>
      </c>
      <c r="D4" s="68" t="s">
        <v>121</v>
      </c>
    </row>
    <row r="5" spans="1:5" ht="36" customHeight="1">
      <c r="A5" s="106" t="s">
        <v>122</v>
      </c>
      <c r="B5" s="106" t="s">
        <v>53</v>
      </c>
      <c r="C5" s="107" t="s">
        <v>123</v>
      </c>
      <c r="D5" s="107" t="s">
        <v>124</v>
      </c>
      <c r="E5" s="108"/>
    </row>
    <row r="6" spans="1:5" s="69" customFormat="1" ht="25.5">
      <c r="A6" s="106" t="s">
        <v>125</v>
      </c>
      <c r="B6" s="106" t="s">
        <v>126</v>
      </c>
      <c r="C6" s="107" t="s">
        <v>127</v>
      </c>
      <c r="D6" s="107" t="s">
        <v>128</v>
      </c>
      <c r="E6" s="108"/>
    </row>
    <row r="7" spans="1:5" ht="51">
      <c r="A7" s="70" t="s">
        <v>5</v>
      </c>
      <c r="B7" s="70" t="s">
        <v>45</v>
      </c>
      <c r="C7" s="71" t="s">
        <v>129</v>
      </c>
      <c r="D7" s="68" t="s">
        <v>130</v>
      </c>
    </row>
    <row r="8" spans="1:5" s="69" customFormat="1" ht="38.25">
      <c r="A8" s="67" t="s">
        <v>6</v>
      </c>
      <c r="B8" s="70" t="s">
        <v>45</v>
      </c>
      <c r="C8" s="68" t="s">
        <v>131</v>
      </c>
      <c r="D8" s="68" t="s">
        <v>132</v>
      </c>
    </row>
    <row r="9" spans="1:5" ht="51">
      <c r="A9" s="70" t="s">
        <v>7</v>
      </c>
      <c r="B9" s="70" t="s">
        <v>45</v>
      </c>
      <c r="C9" s="71" t="s">
        <v>133</v>
      </c>
      <c r="D9" s="68" t="s">
        <v>134</v>
      </c>
    </row>
    <row r="10" spans="1:5" s="69" customFormat="1" ht="25.5">
      <c r="A10" s="67" t="s">
        <v>18</v>
      </c>
      <c r="B10" s="70" t="s">
        <v>45</v>
      </c>
      <c r="C10" s="68" t="s">
        <v>135</v>
      </c>
      <c r="D10" s="69" t="s">
        <v>136</v>
      </c>
    </row>
    <row r="11" spans="1:5">
      <c r="A11" s="70" t="s">
        <v>19</v>
      </c>
      <c r="B11" s="70" t="s">
        <v>45</v>
      </c>
      <c r="C11" s="71" t="s">
        <v>137</v>
      </c>
      <c r="D11" s="69" t="s">
        <v>138</v>
      </c>
    </row>
    <row r="12" spans="1:5" s="69" customFormat="1" ht="30">
      <c r="A12" s="67" t="s">
        <v>20</v>
      </c>
      <c r="B12" s="70" t="s">
        <v>45</v>
      </c>
      <c r="C12" s="69" t="s">
        <v>139</v>
      </c>
      <c r="D12" s="69" t="s">
        <v>140</v>
      </c>
    </row>
    <row r="13" spans="1:5" ht="30">
      <c r="A13" s="70" t="s">
        <v>21</v>
      </c>
      <c r="B13" s="70" t="s">
        <v>45</v>
      </c>
      <c r="C13" s="72" t="s">
        <v>141</v>
      </c>
      <c r="D13" s="69" t="s">
        <v>142</v>
      </c>
    </row>
    <row r="14" spans="1:5" s="69" customFormat="1" ht="30">
      <c r="A14" s="67" t="s">
        <v>22</v>
      </c>
      <c r="B14" s="70" t="s">
        <v>45</v>
      </c>
      <c r="C14" s="69" t="s">
        <v>143</v>
      </c>
      <c r="D14" s="69" t="s">
        <v>144</v>
      </c>
    </row>
    <row r="15" spans="1:5" ht="30">
      <c r="A15" s="70" t="s">
        <v>23</v>
      </c>
      <c r="B15" s="70" t="s">
        <v>45</v>
      </c>
      <c r="C15" s="72" t="s">
        <v>145</v>
      </c>
      <c r="D15" s="69" t="s">
        <v>146</v>
      </c>
    </row>
    <row r="16" spans="1:5" s="69" customFormat="1" ht="30">
      <c r="A16" s="67" t="s">
        <v>24</v>
      </c>
      <c r="B16" s="70" t="s">
        <v>45</v>
      </c>
      <c r="C16" s="69" t="s">
        <v>147</v>
      </c>
      <c r="D16" s="69" t="s">
        <v>148</v>
      </c>
    </row>
    <row r="17" spans="1:4" ht="30">
      <c r="A17" s="70" t="s">
        <v>25</v>
      </c>
      <c r="B17" s="70" t="s">
        <v>45</v>
      </c>
      <c r="C17" s="72" t="s">
        <v>149</v>
      </c>
      <c r="D17" s="69" t="s">
        <v>150</v>
      </c>
    </row>
    <row r="18" spans="1:4" s="69" customFormat="1" ht="30">
      <c r="A18" s="67" t="s">
        <v>26</v>
      </c>
      <c r="B18" s="70" t="s">
        <v>45</v>
      </c>
      <c r="C18" s="69" t="s">
        <v>151</v>
      </c>
      <c r="D18" s="69" t="s">
        <v>152</v>
      </c>
    </row>
    <row r="19" spans="1:4" ht="30">
      <c r="A19" s="70" t="s">
        <v>27</v>
      </c>
      <c r="B19" s="70" t="s">
        <v>45</v>
      </c>
      <c r="C19" s="72" t="s">
        <v>153</v>
      </c>
      <c r="D19" s="69" t="s">
        <v>154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workbookViewId="0">
      <selection activeCell="F10" sqref="F10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5</v>
      </c>
    </row>
    <row r="2" spans="1:7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7">
      <c r="A3" s="9" t="s">
        <v>155</v>
      </c>
      <c r="B3" s="10" t="str">
        <f>VLOOKUP(A$2, Eixo[], 4, FALSE)</f>
        <v>Eixo 2: Questão 6</v>
      </c>
      <c r="C3" s="10"/>
      <c r="D3" s="10"/>
    </row>
    <row r="5" spans="1:7">
      <c r="B5" s="7" t="s">
        <v>156</v>
      </c>
      <c r="C5" s="7" t="s">
        <v>157</v>
      </c>
      <c r="D5" s="7" t="s">
        <v>158</v>
      </c>
      <c r="E5" s="7" t="s">
        <v>159</v>
      </c>
      <c r="F5" s="8" t="s">
        <v>160</v>
      </c>
      <c r="G5" s="8" t="s">
        <v>161</v>
      </c>
    </row>
    <row r="6" spans="1:7">
      <c r="B6" s="9" t="s">
        <v>162</v>
      </c>
      <c r="C6" s="9">
        <f>1724-SUM(C7:C11)</f>
        <v>1723</v>
      </c>
      <c r="D6" s="9">
        <f>1724-SUM(D7:D11)</f>
        <v>1724</v>
      </c>
      <c r="E6" s="10">
        <f>1724-SUM(E7:E11)</f>
        <v>1723</v>
      </c>
      <c r="F6" s="25">
        <f>ROUND($E6/1724*100,2)</f>
        <v>99.94</v>
      </c>
    </row>
    <row r="7" spans="1:7">
      <c r="B7" s="9" t="s">
        <v>13</v>
      </c>
      <c r="C7" s="10">
        <f>COUNTIFS(Resp2[Vínculo],"tecnico",Resp2[2.06],B7)</f>
        <v>1</v>
      </c>
      <c r="D7" s="10">
        <f>COUNTIFS(Resp2[Vínculo],"docente",Resp2[2.06],B7)</f>
        <v>0</v>
      </c>
      <c r="E7" s="10">
        <f>COUNTIF(Resp2[2.06],B7)</f>
        <v>1</v>
      </c>
      <c r="F7" s="25">
        <f>ROUND($E7/1724*100,2)</f>
        <v>0.06</v>
      </c>
      <c r="G7" s="25">
        <f>ROUND($E7/SUM($E$7:$E$11)*100,3)</f>
        <v>100</v>
      </c>
    </row>
    <row r="8" spans="1:7">
      <c r="B8" s="9" t="s">
        <v>163</v>
      </c>
      <c r="C8" s="10">
        <f>COUNTIFS(Resp2[Vínculo],"tecnico",Resp2[2.06],B8)</f>
        <v>0</v>
      </c>
      <c r="D8" s="10">
        <f>COUNTIFS(Resp2[Vínculo],"docente",Resp2[2.06],B8)</f>
        <v>0</v>
      </c>
      <c r="E8" s="10">
        <f>COUNTIF(Resp2[2.06],B8)</f>
        <v>0</v>
      </c>
      <c r="F8" s="25">
        <f t="shared" ref="F8:F12" si="0">ROUND($E8/1724*100,2)</f>
        <v>0</v>
      </c>
      <c r="G8" s="25">
        <f t="shared" ref="G8:G11" si="1">ROUND($E8/SUM($E$7:$E$11)*100,3)</f>
        <v>0</v>
      </c>
    </row>
    <row r="9" spans="1:7">
      <c r="B9" s="9" t="s">
        <v>29</v>
      </c>
      <c r="C9" s="10">
        <f>COUNTIFS(Resp2[Vínculo],"tecnico",Resp2[2.06],B9)</f>
        <v>0</v>
      </c>
      <c r="D9" s="10">
        <f>COUNTIFS(Resp2[Vínculo],"docente",Resp2[2.06],B9)</f>
        <v>0</v>
      </c>
      <c r="E9" s="10">
        <f>COUNTIF(Resp2[2.06],B9)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14</v>
      </c>
      <c r="C10" s="10">
        <f>COUNTIFS(Resp2[Vínculo],"tecnico",Resp2[2.06],B10)</f>
        <v>0</v>
      </c>
      <c r="D10" s="10">
        <f>COUNTIFS(Resp2[Vínculo],"docente",Resp2[2.06],B10)</f>
        <v>0</v>
      </c>
      <c r="E10" s="10">
        <f>COUNTIF(Resp2[2.06],B10)</f>
        <v>0</v>
      </c>
      <c r="F10" s="25">
        <f t="shared" si="0"/>
        <v>0</v>
      </c>
      <c r="G10" s="25">
        <f t="shared" si="1"/>
        <v>0</v>
      </c>
    </row>
    <row r="11" spans="1:7">
      <c r="B11" s="26" t="s">
        <v>28</v>
      </c>
      <c r="C11" s="10">
        <f>COUNTIFS(Resp2[Vínculo],"tecnico",Resp2[2.06],B11)</f>
        <v>0</v>
      </c>
      <c r="D11" s="10">
        <f>COUNTIFS(Resp2[Vínculo],"docente",Resp2[2.06],B11)</f>
        <v>0</v>
      </c>
      <c r="E11" s="10">
        <f>COUNTIF(Resp2[2.06],B11)</f>
        <v>0</v>
      </c>
      <c r="F11" s="25">
        <f t="shared" si="0"/>
        <v>0</v>
      </c>
      <c r="G11" s="25">
        <f t="shared" si="1"/>
        <v>0</v>
      </c>
    </row>
    <row r="12" spans="1:7">
      <c r="B12" s="27" t="s">
        <v>164</v>
      </c>
      <c r="C12" s="11">
        <f>SUM(C6:C11)</f>
        <v>1724</v>
      </c>
      <c r="D12" s="11">
        <f>SUM(D6:D11)</f>
        <v>1724</v>
      </c>
      <c r="E12" s="11">
        <f>SUM(E6:E11)</f>
        <v>1724</v>
      </c>
      <c r="F12" s="28">
        <f t="shared" si="0"/>
        <v>100</v>
      </c>
      <c r="G12" s="28">
        <f>SUM(G7:G11)</f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workbookViewId="0">
      <selection activeCell="F12" sqref="F12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18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155</v>
      </c>
      <c r="B3" s="10" t="str">
        <f>VLOOKUP(A$2, Eixo[], 4, FALSE)</f>
        <v>Eixo3: Questão 1</v>
      </c>
      <c r="C3" s="10"/>
      <c r="D3" s="10"/>
    </row>
    <row r="5" spans="1:7">
      <c r="B5" s="7" t="s">
        <v>156</v>
      </c>
      <c r="C5" s="7" t="s">
        <v>157</v>
      </c>
      <c r="D5" s="7" t="s">
        <v>158</v>
      </c>
      <c r="E5" s="7" t="s">
        <v>159</v>
      </c>
      <c r="F5" s="8" t="s">
        <v>160</v>
      </c>
      <c r="G5" s="8" t="s">
        <v>161</v>
      </c>
    </row>
    <row r="6" spans="1:7">
      <c r="B6" s="9" t="s">
        <v>162</v>
      </c>
      <c r="C6" s="9">
        <f>1470-SUM(C7:C11)</f>
        <v>1468</v>
      </c>
      <c r="D6" s="9">
        <f>1470-SUM(D7:D11)</f>
        <v>1470</v>
      </c>
      <c r="E6" s="10">
        <f>1470-SUM(E7:E11)</f>
        <v>1468</v>
      </c>
      <c r="F6" s="25">
        <f>ROUND($E6/1470*100,2)</f>
        <v>99.86</v>
      </c>
    </row>
    <row r="7" spans="1:7">
      <c r="B7" s="9" t="s">
        <v>13</v>
      </c>
      <c r="C7" s="10">
        <f>COUNTIFS(Resp3[Vínculo],"tecnico",Resp3[3.01],B7)</f>
        <v>0</v>
      </c>
      <c r="D7" s="10">
        <f>COUNTIFS(Resp3[Vínculo],"docente",Resp3[3.01],B7)</f>
        <v>0</v>
      </c>
      <c r="E7" s="10">
        <f>COUNTIF(Resp3[3.01],B7)</f>
        <v>0</v>
      </c>
      <c r="F7" s="25">
        <f t="shared" ref="F7:F12" si="0">ROUND($E7/1470*100,2)</f>
        <v>0</v>
      </c>
      <c r="G7" s="25">
        <f>ROUND($E7/SUM($E$7:$E$11)*100,3)</f>
        <v>0</v>
      </c>
    </row>
    <row r="8" spans="1:7">
      <c r="B8" s="9" t="s">
        <v>163</v>
      </c>
      <c r="C8" s="10">
        <f>COUNTIFS(Resp3[Vínculo],"tecnico",Resp3[3.01],B8)</f>
        <v>0</v>
      </c>
      <c r="D8" s="10">
        <f>COUNTIFS(Resp3[Vínculo],"docente",Resp3[3.01],B8)</f>
        <v>0</v>
      </c>
      <c r="E8" s="10">
        <f>COUNTIF(Resp3[3.01],B8)</f>
        <v>0</v>
      </c>
      <c r="F8" s="25">
        <f t="shared" si="0"/>
        <v>0</v>
      </c>
      <c r="G8" s="25">
        <f t="shared" ref="G8:G11" si="1">ROUND($E8/SUM($E$7:$E$11)*100,3)</f>
        <v>0</v>
      </c>
    </row>
    <row r="9" spans="1:7">
      <c r="B9" s="9" t="s">
        <v>29</v>
      </c>
      <c r="C9" s="10">
        <f>COUNTIFS(Resp3[Vínculo],"tecnico",Resp3[3.01],B9)</f>
        <v>0</v>
      </c>
      <c r="D9" s="10">
        <f>COUNTIFS(Resp3[Vínculo],"docente",Resp3[3.01],B9)</f>
        <v>0</v>
      </c>
      <c r="E9" s="10">
        <f>COUNTIF(Resp3[3.01],B9)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14</v>
      </c>
      <c r="C10" s="10">
        <f>COUNTIFS(Resp3[Vínculo],"tecnico",Resp3[3.01],B10)</f>
        <v>2</v>
      </c>
      <c r="D10" s="10">
        <f>COUNTIFS(Resp3[Vínculo],"docente",Resp3[3.01],B10)</f>
        <v>0</v>
      </c>
      <c r="E10" s="10">
        <f>COUNTIF(Resp3[3.01],B10)</f>
        <v>2</v>
      </c>
      <c r="F10" s="25">
        <f t="shared" si="0"/>
        <v>0.14000000000000001</v>
      </c>
      <c r="G10" s="25">
        <f t="shared" si="1"/>
        <v>100</v>
      </c>
    </row>
    <row r="11" spans="1:7">
      <c r="B11" s="26" t="s">
        <v>28</v>
      </c>
      <c r="C11" s="10">
        <f>COUNTIFS(Resp3[Vínculo],"tecnico",Resp3[3.01],B11)</f>
        <v>0</v>
      </c>
      <c r="D11" s="10">
        <f>COUNTIFS(Resp3[Vínculo],"docente",Resp3[3.01],B11)</f>
        <v>0</v>
      </c>
      <c r="E11" s="10">
        <f>COUNTIF(Resp3[3.01],B11)</f>
        <v>0</v>
      </c>
      <c r="F11" s="25">
        <f t="shared" si="0"/>
        <v>0</v>
      </c>
      <c r="G11" s="25">
        <f t="shared" si="1"/>
        <v>0</v>
      </c>
    </row>
    <row r="12" spans="1:7">
      <c r="B12" s="27" t="s">
        <v>164</v>
      </c>
      <c r="C12" s="11">
        <f>SUM(C6:C11)</f>
        <v>1470</v>
      </c>
      <c r="D12" s="11">
        <f>SUM(D6:D11)</f>
        <v>1470</v>
      </c>
      <c r="E12" s="11">
        <f>SUM(E6:E11)</f>
        <v>1470</v>
      </c>
      <c r="F12" s="28">
        <f t="shared" si="0"/>
        <v>100</v>
      </c>
      <c r="G12" s="28">
        <f>SUM(G7:G11)</f>
        <v>100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topLeftCell="A21" zoomScale="90" zoomScaleNormal="90" workbookViewId="0">
      <selection activeCell="J41" sqref="J41"/>
    </sheetView>
  </sheetViews>
  <sheetFormatPr defaultRowHeight="15"/>
  <cols>
    <col min="1" max="1" width="25" customWidth="1"/>
    <col min="2" max="2" width="15.85546875" customWidth="1"/>
    <col min="3" max="3" width="24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8">
      <c r="A1" t="s">
        <v>2</v>
      </c>
      <c r="G1" s="1"/>
    </row>
    <row r="2" spans="1:8">
      <c r="A2" s="2" t="str">
        <f>TEXT(A1,"0.00")</f>
        <v>2.01</v>
      </c>
      <c r="B2" s="5" t="str">
        <f>VLOOKUP(A$2,Eixo[],3,FALSE)</f>
        <v>Sobre a articulação entre Planejamento e Avaliação, considerando o planejamento estratégico de sua unidade e as pesquisas de avaliação institucional interna coordenadas pela Comissão Própria de Avaliação (CPA):</v>
      </c>
      <c r="C2" s="23"/>
      <c r="D2" s="23"/>
      <c r="E2" s="23"/>
      <c r="G2" s="1"/>
    </row>
    <row r="3" spans="1:8">
      <c r="A3" t="s">
        <v>155</v>
      </c>
      <c r="B3" s="5" t="str">
        <f>VLOOKUP(A$2,Eixo[],4,FALSE)</f>
        <v>Eixo 2: Questão 1</v>
      </c>
      <c r="G3" s="1"/>
    </row>
    <row r="4" spans="1:8" ht="15" customHeight="1">
      <c r="B4" s="5"/>
      <c r="G4" s="1"/>
    </row>
    <row r="5" spans="1:8" ht="15" customHeight="1">
      <c r="B5" s="7" t="s">
        <v>165</v>
      </c>
      <c r="C5" s="7" t="s">
        <v>166</v>
      </c>
      <c r="D5" s="7" t="s">
        <v>167</v>
      </c>
      <c r="E5" s="7" t="s">
        <v>159</v>
      </c>
      <c r="F5" s="8" t="s">
        <v>160</v>
      </c>
      <c r="G5" s="7" t="s">
        <v>161</v>
      </c>
    </row>
    <row r="6" spans="1:8" ht="15" customHeight="1">
      <c r="B6" s="18" t="s">
        <v>168</v>
      </c>
      <c r="C6" s="13">
        <f>COUNTIF(Resp2[Vínculo],"tecnico")-SUM(C7:C9)</f>
        <v>0</v>
      </c>
      <c r="D6" s="13">
        <f>COUNTIF(Resp2[Vínculo],"docente")-SUM(D7:D9)</f>
        <v>0</v>
      </c>
      <c r="E6" s="13">
        <f>E10-SUM(E7:E9)</f>
        <v>0</v>
      </c>
      <c r="F6" s="14">
        <f>ROUND($E6/$E$10*100,2)</f>
        <v>0</v>
      </c>
      <c r="G6" s="13"/>
    </row>
    <row r="7" spans="1:8" ht="15" customHeight="1">
      <c r="B7" s="19" t="s">
        <v>79</v>
      </c>
      <c r="C7" s="18">
        <f>COUNTIFS(Resp2[Vínculo],"tecnico",Resp2[2.01],C17)</f>
        <v>1</v>
      </c>
      <c r="D7" s="18">
        <f>COUNTIFS(Resp2[Vínculo],"docente",Resp2[2.01],C17)</f>
        <v>0</v>
      </c>
      <c r="E7" s="13">
        <f>COUNTIF(Resp2[2.01],C17)</f>
        <v>1</v>
      </c>
      <c r="F7" s="14">
        <f>ROUND($E7/$E$10*100,2)</f>
        <v>50</v>
      </c>
      <c r="G7" s="13">
        <f>ROUND($E7/SUM($E$7:$E$9)*100,2)</f>
        <v>50</v>
      </c>
    </row>
    <row r="8" spans="1:8" ht="15" customHeight="1">
      <c r="B8" s="18" t="s">
        <v>80</v>
      </c>
      <c r="C8" s="18">
        <f>COUNTIFS(Resp2[Vínculo],"tecnico",Resp2[2.01],C18)</f>
        <v>0</v>
      </c>
      <c r="D8" s="18">
        <f>COUNTIFS(Resp2[Vínculo],"docente",Resp2[2.01],C18)</f>
        <v>0</v>
      </c>
      <c r="E8" s="13">
        <f>COUNTIF(Resp2[2.01],C18)</f>
        <v>0</v>
      </c>
      <c r="F8" s="14">
        <f t="shared" ref="F8:F10" si="0">ROUND($E8/$E$10*100,2)</f>
        <v>0</v>
      </c>
      <c r="G8" s="13">
        <f>ROUND($E8/SUM($E$7:$E$9)*100,2)</f>
        <v>0</v>
      </c>
    </row>
    <row r="9" spans="1:8" ht="15" customHeight="1">
      <c r="B9" s="18" t="s">
        <v>90</v>
      </c>
      <c r="C9" s="18">
        <f>COUNTIFS(Resp2[Vínculo],"tecnico",Resp2[2.01],C19)</f>
        <v>1</v>
      </c>
      <c r="D9" s="93">
        <f>COUNTIFS(Resp2[Vínculo],"docente",Resp2[2.01],C19)</f>
        <v>0</v>
      </c>
      <c r="E9" s="94">
        <f>COUNTIF(Resp2[2.01],C19)</f>
        <v>1</v>
      </c>
      <c r="F9" s="95">
        <f t="shared" si="0"/>
        <v>50</v>
      </c>
      <c r="G9" s="94">
        <f>ROUND($E9/SUM($E$7:$E$9)*100,2)</f>
        <v>50</v>
      </c>
    </row>
    <row r="10" spans="1:8" ht="15" customHeight="1">
      <c r="B10" s="11" t="s">
        <v>164</v>
      </c>
      <c r="C10" s="11">
        <f>SUM(C6:C9)</f>
        <v>2</v>
      </c>
      <c r="D10" s="9">
        <f>SUM(D6:D9)</f>
        <v>0</v>
      </c>
      <c r="E10" s="15">
        <f>SUM(C10:D10)</f>
        <v>2</v>
      </c>
      <c r="F10" s="102">
        <f t="shared" si="0"/>
        <v>100</v>
      </c>
      <c r="G10" s="101">
        <f>SUM(G7:G9)</f>
        <v>100</v>
      </c>
    </row>
    <row r="11" spans="1:8" ht="15" customHeight="1">
      <c r="E11" s="9"/>
      <c r="F11" s="15"/>
      <c r="G11" s="20"/>
      <c r="H11" s="15"/>
    </row>
    <row r="12" spans="1:8" ht="15" customHeight="1"/>
    <row r="13" spans="1:8" ht="15" customHeight="1"/>
    <row r="14" spans="1:8" ht="15" customHeight="1"/>
    <row r="15" spans="1:8" ht="15" customHeight="1">
      <c r="B15" s="22" t="s">
        <v>169</v>
      </c>
      <c r="C15" s="22" t="s">
        <v>165</v>
      </c>
      <c r="D15" s="6"/>
      <c r="E15" s="6"/>
      <c r="F15" s="6"/>
      <c r="G15" s="6"/>
    </row>
    <row r="16" spans="1:8" ht="15" customHeight="1">
      <c r="B16" t="s">
        <v>168</v>
      </c>
      <c r="C16" s="21" t="s">
        <v>170</v>
      </c>
    </row>
    <row r="17" spans="1:5" ht="15" customHeight="1">
      <c r="B17" t="s">
        <v>79</v>
      </c>
      <c r="C17" s="9" t="s">
        <v>10</v>
      </c>
    </row>
    <row r="18" spans="1:5" ht="15" customHeight="1">
      <c r="B18" t="s">
        <v>80</v>
      </c>
      <c r="C18" s="21" t="s">
        <v>171</v>
      </c>
    </row>
    <row r="19" spans="1:5">
      <c r="B19" t="s">
        <v>90</v>
      </c>
      <c r="C19" s="21" t="s">
        <v>15</v>
      </c>
    </row>
    <row r="24" spans="1:5">
      <c r="B24" s="11" t="s">
        <v>172</v>
      </c>
      <c r="C24" s="11" t="s">
        <v>173</v>
      </c>
      <c r="D24" s="7" t="s">
        <v>157</v>
      </c>
      <c r="E24" s="8" t="s">
        <v>160</v>
      </c>
    </row>
    <row r="25" spans="1:5">
      <c r="B25" s="29" t="s">
        <v>90</v>
      </c>
      <c r="C25" s="29" t="s">
        <v>81</v>
      </c>
      <c r="D25" s="15">
        <f>C9</f>
        <v>1</v>
      </c>
      <c r="E25" s="44">
        <f>ROUND(D25/SUM(D$25:D$28)*100,3)</f>
        <v>50</v>
      </c>
    </row>
    <row r="26" spans="1:5">
      <c r="A26" t="s">
        <v>174</v>
      </c>
      <c r="B26" s="30"/>
      <c r="C26" s="30"/>
      <c r="D26" s="15"/>
      <c r="E26" s="44"/>
    </row>
    <row r="27" spans="1:5">
      <c r="B27" s="31" t="s">
        <v>80</v>
      </c>
      <c r="C27" s="31" t="s">
        <v>86</v>
      </c>
      <c r="D27" s="15">
        <f>C8</f>
        <v>0</v>
      </c>
      <c r="E27" s="44">
        <f t="shared" ref="E27:E28" si="1">ROUND(D27/SUM(D$25:D$28)*100,3)</f>
        <v>0</v>
      </c>
    </row>
    <row r="28" spans="1:5">
      <c r="B28" s="51" t="s">
        <v>79</v>
      </c>
      <c r="C28" s="51" t="s">
        <v>91</v>
      </c>
      <c r="D28" s="33">
        <f>C7</f>
        <v>1</v>
      </c>
      <c r="E28" s="45">
        <f t="shared" si="1"/>
        <v>50</v>
      </c>
    </row>
    <row r="33" spans="2:5">
      <c r="B33" s="9"/>
      <c r="C33" s="9"/>
      <c r="D33" s="13"/>
      <c r="E33" s="49"/>
    </row>
    <row r="34" spans="2:5">
      <c r="B34" s="9"/>
      <c r="C34" s="9"/>
      <c r="D34" s="15"/>
      <c r="E34" s="44"/>
    </row>
    <row r="35" spans="2:5">
      <c r="B35" s="9"/>
      <c r="C35" s="9"/>
      <c r="D35" s="15"/>
      <c r="E35" s="44"/>
    </row>
    <row r="36" spans="2:5">
      <c r="B36" s="9"/>
      <c r="C36" s="9"/>
      <c r="D36" s="15"/>
      <c r="E36" s="44"/>
    </row>
    <row r="37" spans="2:5">
      <c r="B37" s="9"/>
      <c r="C37" s="9"/>
      <c r="D37" s="15"/>
      <c r="E37" s="4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2"/>
  <sheetViews>
    <sheetView topLeftCell="A15" workbookViewId="0">
      <selection activeCell="A28" sqref="A28:E35"/>
    </sheetView>
  </sheetViews>
  <sheetFormatPr defaultColWidth="9.140625" defaultRowHeight="15"/>
  <cols>
    <col min="1" max="1" width="39.7109375" customWidth="1"/>
    <col min="2" max="2" width="12.7109375" customWidth="1"/>
    <col min="3" max="3" width="22.28515625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7">
      <c r="A1" t="s">
        <v>3</v>
      </c>
    </row>
    <row r="2" spans="1:7">
      <c r="A2" s="2" t="str">
        <f>TEXT(A1,"0.00")</f>
        <v>2.02</v>
      </c>
      <c r="B2" s="5" t="str">
        <f>VLOOKUP(A$2,Eixo[],3,FALSE)</f>
        <v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v>
      </c>
      <c r="C2" s="5"/>
      <c r="D2" s="5"/>
    </row>
    <row r="3" spans="1:7">
      <c r="A3" t="s">
        <v>155</v>
      </c>
      <c r="B3" s="5" t="str">
        <f>VLOOKUP(A$2,Eixo[],4,FALSE)</f>
        <v>Eixo 2: Questão 2</v>
      </c>
      <c r="C3" s="5"/>
      <c r="D3" s="5"/>
    </row>
    <row r="5" spans="1:7">
      <c r="B5" s="3" t="s">
        <v>156</v>
      </c>
      <c r="C5" s="3" t="s">
        <v>166</v>
      </c>
      <c r="D5" s="3" t="s">
        <v>167</v>
      </c>
      <c r="E5" s="3" t="s">
        <v>159</v>
      </c>
      <c r="F5" s="4" t="s">
        <v>160</v>
      </c>
      <c r="G5" s="3" t="s">
        <v>161</v>
      </c>
    </row>
    <row r="6" spans="1:7">
      <c r="B6" s="16" t="s">
        <v>168</v>
      </c>
      <c r="C6" s="16">
        <f>COUNTIF(Resp2[Vínculo],"tecnico")-SUM(C7:C8)</f>
        <v>0</v>
      </c>
      <c r="D6" s="16">
        <f>COUNTIF(Resp2[Vínculo],"docente")-SUM(D7:D8)</f>
        <v>0</v>
      </c>
      <c r="E6" s="15">
        <f>E9-SUM(E7:E8)</f>
        <v>0</v>
      </c>
      <c r="F6" s="10">
        <f>ROUND($E6/$E$9*100,2)</f>
        <v>0</v>
      </c>
      <c r="G6" s="13"/>
    </row>
    <row r="7" spans="1:7">
      <c r="B7" s="17" t="s">
        <v>79</v>
      </c>
      <c r="C7" s="17">
        <f>COUNTIFS(Resp2[Vínculo],"tecnico",Resp2[2.02],C17)</f>
        <v>2</v>
      </c>
      <c r="D7" s="17">
        <f>COUNTIFS(Resp2[Vínculo],"docente",Resp2[2.02],C17)</f>
        <v>0</v>
      </c>
      <c r="E7" s="15">
        <f>COUNTIF(Resp2[2.02],C17)</f>
        <v>2</v>
      </c>
      <c r="F7" s="10">
        <f>ROUND($E7/$E$9*100,2)</f>
        <v>100</v>
      </c>
      <c r="G7" s="9">
        <f>ROUND($E7/SUM($E$7:$E$8)*100,2)</f>
        <v>100</v>
      </c>
    </row>
    <row r="8" spans="1:7">
      <c r="B8" s="17" t="s">
        <v>80</v>
      </c>
      <c r="C8" s="17">
        <f>COUNTIFS(Resp2[Vínculo],"tecnico",Resp2[2.02],C18)</f>
        <v>0</v>
      </c>
      <c r="D8" s="96">
        <f>COUNTIFS(Resp2[Vínculo],"docente",Resp2[2.02],C18)</f>
        <v>0</v>
      </c>
      <c r="E8" s="97">
        <f>COUNTIF(Resp2[2.02],C18)</f>
        <v>0</v>
      </c>
      <c r="F8" s="98">
        <f>ROUND($E8/$E$9*100,2)</f>
        <v>0</v>
      </c>
      <c r="G8" s="99">
        <f>ROUND($E8/SUM($E$7:$E$8)*100,2)</f>
        <v>0</v>
      </c>
    </row>
    <row r="9" spans="1:7">
      <c r="B9" s="11" t="s">
        <v>164</v>
      </c>
      <c r="C9" s="11">
        <f>SUM(C6:C8)</f>
        <v>2</v>
      </c>
      <c r="D9" s="9">
        <f>SUM(D6:D8)</f>
        <v>0</v>
      </c>
      <c r="E9" s="9">
        <f>SUM(C9:D9)</f>
        <v>2</v>
      </c>
      <c r="F9" s="104">
        <f t="shared" ref="F9" si="0">ROUND($E9/$E$9*100,2)</f>
        <v>100</v>
      </c>
      <c r="G9" s="103">
        <f>SUM(G7:G8)</f>
        <v>100</v>
      </c>
    </row>
    <row r="15" spans="1:7">
      <c r="B15" s="6" t="s">
        <v>175</v>
      </c>
      <c r="C15" s="6" t="s">
        <v>176</v>
      </c>
      <c r="D15" s="6"/>
      <c r="E15" s="6"/>
      <c r="F15" s="6"/>
      <c r="G15" s="6"/>
    </row>
    <row r="16" spans="1:7">
      <c r="B16" t="s">
        <v>168</v>
      </c>
      <c r="C16" s="24" t="s">
        <v>177</v>
      </c>
    </row>
    <row r="17" spans="1:5">
      <c r="B17" t="s">
        <v>79</v>
      </c>
      <c r="C17" s="24" t="s">
        <v>11</v>
      </c>
    </row>
    <row r="18" spans="1:5">
      <c r="B18" t="s">
        <v>80</v>
      </c>
      <c r="C18" s="24" t="s">
        <v>178</v>
      </c>
    </row>
    <row r="21" spans="1:5">
      <c r="B21" s="11" t="s">
        <v>172</v>
      </c>
      <c r="C21" s="11" t="s">
        <v>173</v>
      </c>
      <c r="D21" s="7" t="s">
        <v>157</v>
      </c>
      <c r="E21" s="8" t="s">
        <v>160</v>
      </c>
    </row>
    <row r="22" spans="1:5">
      <c r="B22" s="29" t="s">
        <v>79</v>
      </c>
      <c r="C22" s="29" t="s">
        <v>81</v>
      </c>
      <c r="D22" s="15">
        <f>C7</f>
        <v>2</v>
      </c>
      <c r="E22" s="44">
        <f>ROUND(D22/SUM(D$22:D$25)*100,3)</f>
        <v>100</v>
      </c>
    </row>
    <row r="23" spans="1:5">
      <c r="A23" s="132" t="s">
        <v>174</v>
      </c>
      <c r="B23" s="30"/>
      <c r="C23" s="30"/>
      <c r="D23" s="15"/>
      <c r="E23" s="44"/>
    </row>
    <row r="24" spans="1:5" ht="16.5" customHeight="1">
      <c r="A24" s="132"/>
      <c r="B24" s="31"/>
      <c r="C24" s="31"/>
      <c r="D24" s="15"/>
      <c r="E24" s="44"/>
    </row>
    <row r="25" spans="1:5">
      <c r="A25" s="128"/>
      <c r="B25" s="51" t="s">
        <v>80</v>
      </c>
      <c r="C25" s="51" t="s">
        <v>91</v>
      </c>
      <c r="D25" s="33">
        <f>C8</f>
        <v>0</v>
      </c>
      <c r="E25" s="45">
        <f>ROUND(D25/SUM(D$22:D$25)*100,3)</f>
        <v>0</v>
      </c>
    </row>
    <row r="26" spans="1:5">
      <c r="A26" s="128"/>
      <c r="D26">
        <f>SUM(D22:D25)</f>
        <v>2</v>
      </c>
    </row>
    <row r="27" spans="1:5">
      <c r="A27" s="128"/>
    </row>
    <row r="28" spans="1:5">
      <c r="A28" s="128"/>
      <c r="B28" s="9"/>
      <c r="C28" s="9"/>
      <c r="D28" s="13"/>
      <c r="E28" s="49"/>
    </row>
    <row r="29" spans="1:5" ht="15.75" customHeight="1">
      <c r="A29" s="128"/>
      <c r="B29" s="9"/>
      <c r="C29" s="9"/>
      <c r="D29" s="15"/>
      <c r="E29" s="44"/>
    </row>
    <row r="30" spans="1:5" ht="12.75" customHeight="1">
      <c r="A30" s="132"/>
      <c r="B30" s="9"/>
      <c r="C30" s="9"/>
      <c r="D30" s="15"/>
      <c r="E30" s="44"/>
    </row>
    <row r="31" spans="1:5" ht="17.25" customHeight="1">
      <c r="A31" s="132"/>
      <c r="B31" s="9"/>
      <c r="C31" s="9"/>
      <c r="D31" s="15"/>
      <c r="E31" s="44"/>
    </row>
    <row r="32" spans="1:5">
      <c r="B32" s="9"/>
      <c r="C32" s="9"/>
      <c r="D32" s="15"/>
      <c r="E32" s="44"/>
    </row>
  </sheetData>
  <mergeCells count="2">
    <mergeCell ref="A30:A31"/>
    <mergeCell ref="A23:A2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topLeftCell="A2" workbookViewId="0">
      <selection activeCell="E18" sqref="E18"/>
    </sheetView>
  </sheetViews>
  <sheetFormatPr defaultRowHeight="15"/>
  <cols>
    <col min="1" max="1" width="12.5703125" style="9" bestFit="1" customWidth="1"/>
    <col min="2" max="2" width="16.28515625" style="9" customWidth="1"/>
    <col min="3" max="7" width="12.7109375" style="9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4</v>
      </c>
    </row>
    <row r="2" spans="1:7">
      <c r="A2" s="9" t="str">
        <f>TEXT(A1,"0.00")</f>
        <v>2.03</v>
      </c>
      <c r="B2" s="9" t="str">
        <f>VLOOKUP(A$2, Eixo[], 3, FALSE)</f>
        <v>Você conhece os Representantes/Comissões Locais da CPA na sua unidade?</v>
      </c>
    </row>
    <row r="3" spans="1:7">
      <c r="A3" s="9" t="s">
        <v>155</v>
      </c>
      <c r="B3" s="10" t="str">
        <f>VLOOKUP(A$2, Eixo[], 4, FALSE)</f>
        <v>Eixo 2: Questão 3</v>
      </c>
      <c r="C3" s="10"/>
      <c r="D3" s="10"/>
    </row>
    <row r="4" spans="1:7">
      <c r="B4" s="10"/>
      <c r="C4" s="10"/>
      <c r="D4" s="10"/>
    </row>
    <row r="5" spans="1:7">
      <c r="B5" s="7" t="s">
        <v>156</v>
      </c>
      <c r="C5" s="7" t="s">
        <v>166</v>
      </c>
      <c r="D5" s="7" t="s">
        <v>158</v>
      </c>
      <c r="E5" s="7" t="s">
        <v>159</v>
      </c>
      <c r="F5" s="8" t="s">
        <v>160</v>
      </c>
      <c r="G5" s="7" t="s">
        <v>161</v>
      </c>
    </row>
    <row r="6" spans="1:7">
      <c r="B6" s="9" t="s">
        <v>170</v>
      </c>
      <c r="C6" s="9">
        <f>COUNTIF(Resp2[Vínculo],"tecnico")-SUM(C7:C8)</f>
        <v>0</v>
      </c>
      <c r="D6" s="9">
        <f>COUNTIF(Resp2[Vínculo],"docente")-SUM(D7:D8)</f>
        <v>0</v>
      </c>
      <c r="E6" s="10">
        <f>E9-SUM(E7:E8)</f>
        <v>0</v>
      </c>
      <c r="F6" s="10">
        <f>ROUND($E6/$E$9*100,2)</f>
        <v>0</v>
      </c>
    </row>
    <row r="7" spans="1:7">
      <c r="B7" s="9" t="s">
        <v>12</v>
      </c>
      <c r="C7" s="10">
        <f>COUNTIFS(Resp2[Vínculo],"tecnico",Resp2[2.03],B7)</f>
        <v>1</v>
      </c>
      <c r="D7" s="10">
        <f>COUNTIFS(Resp2[Vínculo],"docente",Resp2[2.03],B7)</f>
        <v>0</v>
      </c>
      <c r="E7" s="9">
        <f>COUNTIF(Resp2[2.03],B7)</f>
        <v>1</v>
      </c>
      <c r="F7" s="10">
        <f t="shared" ref="F7:F9" si="0">ROUND($E7/$E$9*100,2)</f>
        <v>50</v>
      </c>
      <c r="G7" s="10">
        <f>ROUND($E7/SUM($E$7:$E$8)*100,2)</f>
        <v>50</v>
      </c>
    </row>
    <row r="8" spans="1:7">
      <c r="B8" s="9" t="s">
        <v>16</v>
      </c>
      <c r="C8" s="10">
        <f>COUNTIFS(Resp2[Vínculo],"tecnico",Resp2[2.03],B8)</f>
        <v>1</v>
      </c>
      <c r="D8" s="10">
        <f>COUNTIFS(Resp2[Vínculo],"docente",Resp2[2.03],B8)</f>
        <v>0</v>
      </c>
      <c r="E8" s="9">
        <f>COUNTIF(Resp2[2.03],B8)</f>
        <v>1</v>
      </c>
      <c r="F8" s="98">
        <f>ROUND($E8/$E$9*100,2)</f>
        <v>50</v>
      </c>
      <c r="G8" s="98">
        <f>ROUND($E8/SUM($E$7:$E$8)*100,2)</f>
        <v>50</v>
      </c>
    </row>
    <row r="9" spans="1:7">
      <c r="B9" s="11" t="s">
        <v>164</v>
      </c>
      <c r="C9" s="11">
        <f>SUM(C6:C8)</f>
        <v>2</v>
      </c>
      <c r="D9" s="11">
        <f>SUM(D6:D8)</f>
        <v>0</v>
      </c>
      <c r="E9" s="11">
        <f>SUM(C9:D9)</f>
        <v>2</v>
      </c>
      <c r="F9" s="104">
        <f t="shared" si="0"/>
        <v>100</v>
      </c>
      <c r="G9" s="104">
        <f>SUM(G7:G8)</f>
        <v>100</v>
      </c>
    </row>
    <row r="10" spans="1:7">
      <c r="F10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Aparecida Franco Miyake</dc:creator>
  <cp:keywords/>
  <dc:description/>
  <cp:lastModifiedBy>Secretaria Executiva de Avaliação Institucional</cp:lastModifiedBy>
  <cp:revision/>
  <dcterms:created xsi:type="dcterms:W3CDTF">2021-12-07T12:52:34Z</dcterms:created>
  <dcterms:modified xsi:type="dcterms:W3CDTF">2022-01-14T16:52:03Z</dcterms:modified>
  <cp:category/>
  <cp:contentStatus/>
</cp:coreProperties>
</file>