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CIÊNCIAS EXATAS/"/>
    </mc:Choice>
  </mc:AlternateContent>
  <xr:revisionPtr revIDLastSave="5" documentId="11_E2C7FF657AF540ABB4F04E7177DB136A405494B2" xr6:coauthVersionLast="47" xr6:coauthVersionMax="47" xr10:uidLastSave="{C9B64C73-463B-43F5-8827-58478AE6BF6C}"/>
  <bookViews>
    <workbookView xWindow="22965" yWindow="600" windowWidth="20730" windowHeight="1116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35ET" sheetId="144" r:id="rId5"/>
    <sheet name="Q5.136" sheetId="143" r:id="rId6"/>
    <sheet name="Q5.137" sheetId="145" r:id="rId7"/>
    <sheet name="Q5.138" sheetId="146" r:id="rId8"/>
    <sheet name="Q5.139" sheetId="147" r:id="rId9"/>
    <sheet name="Q5.140" sheetId="14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48" l="1"/>
  <c r="D8" i="148"/>
  <c r="E8" i="148"/>
  <c r="C9" i="148"/>
  <c r="D17" i="148" s="1"/>
  <c r="D9" i="148"/>
  <c r="D23" i="148" s="1"/>
  <c r="E9" i="148"/>
  <c r="C10" i="148"/>
  <c r="D10" i="148"/>
  <c r="E10" i="148"/>
  <c r="C11" i="148"/>
  <c r="D11" i="148"/>
  <c r="E11" i="148"/>
  <c r="E7" i="148"/>
  <c r="D7" i="148"/>
  <c r="D24" i="148" s="1"/>
  <c r="C7" i="148"/>
  <c r="A2" i="148"/>
  <c r="C8" i="147"/>
  <c r="D8" i="147"/>
  <c r="E8" i="147"/>
  <c r="C9" i="147"/>
  <c r="D17" i="147" s="1"/>
  <c r="D9" i="147"/>
  <c r="D23" i="147" s="1"/>
  <c r="E9" i="147"/>
  <c r="C10" i="147"/>
  <c r="D10" i="147"/>
  <c r="E10" i="147"/>
  <c r="C11" i="147"/>
  <c r="D11" i="147"/>
  <c r="E11" i="147"/>
  <c r="E7" i="147"/>
  <c r="D7" i="147"/>
  <c r="D24" i="147" s="1"/>
  <c r="C7" i="147"/>
  <c r="A2" i="147"/>
  <c r="C8" i="146"/>
  <c r="D8" i="146"/>
  <c r="E8" i="146"/>
  <c r="C9" i="146"/>
  <c r="D9" i="146"/>
  <c r="D23" i="146" s="1"/>
  <c r="E9" i="146"/>
  <c r="C10" i="146"/>
  <c r="D10" i="146"/>
  <c r="E10" i="146"/>
  <c r="C11" i="146"/>
  <c r="D11" i="146"/>
  <c r="E11" i="146"/>
  <c r="E7" i="146"/>
  <c r="D7" i="146"/>
  <c r="C7" i="146"/>
  <c r="D17" i="146"/>
  <c r="A2" i="146"/>
  <c r="C8" i="145"/>
  <c r="D8" i="145"/>
  <c r="E8" i="145"/>
  <c r="C9" i="145"/>
  <c r="D17" i="145" s="1"/>
  <c r="D9" i="145"/>
  <c r="D23" i="145" s="1"/>
  <c r="E9" i="145"/>
  <c r="C10" i="145"/>
  <c r="D10" i="145"/>
  <c r="E10" i="145"/>
  <c r="C11" i="145"/>
  <c r="D11" i="145"/>
  <c r="E11" i="145"/>
  <c r="E7" i="145"/>
  <c r="D7" i="145"/>
  <c r="D24" i="145" s="1"/>
  <c r="C7" i="145"/>
  <c r="A2" i="145"/>
  <c r="C8" i="143"/>
  <c r="D8" i="143"/>
  <c r="E8" i="143"/>
  <c r="C9" i="143"/>
  <c r="D17" i="143" s="1"/>
  <c r="D9" i="143"/>
  <c r="D23" i="143" s="1"/>
  <c r="E9" i="143"/>
  <c r="C10" i="143"/>
  <c r="D10" i="143"/>
  <c r="E10" i="143"/>
  <c r="C11" i="143"/>
  <c r="D11" i="143"/>
  <c r="E11" i="143"/>
  <c r="E7" i="143"/>
  <c r="D7" i="143"/>
  <c r="C7" i="143"/>
  <c r="C8" i="144"/>
  <c r="D8" i="144"/>
  <c r="E8" i="144"/>
  <c r="E7" i="144"/>
  <c r="D7" i="144"/>
  <c r="C7" i="144"/>
  <c r="A2" i="144"/>
  <c r="A2" i="143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24" i="143" l="1"/>
  <c r="D22" i="146"/>
  <c r="D16" i="143"/>
  <c r="D16" i="148"/>
  <c r="D22" i="148"/>
  <c r="D22" i="145"/>
  <c r="D16" i="147"/>
  <c r="E6" i="61"/>
  <c r="D23" i="61"/>
  <c r="D16" i="145"/>
  <c r="D6" i="144"/>
  <c r="D9" i="144" s="1"/>
  <c r="D22" i="143"/>
  <c r="D18" i="145"/>
  <c r="D18" i="148"/>
  <c r="D6" i="61"/>
  <c r="D19" i="61"/>
  <c r="D6" i="146"/>
  <c r="D12" i="146" s="1"/>
  <c r="C6" i="144"/>
  <c r="C9" i="144" s="1"/>
  <c r="D24" i="146"/>
  <c r="D22" i="147"/>
  <c r="D18" i="143"/>
  <c r="C6" i="143"/>
  <c r="C12" i="143" s="1"/>
  <c r="D18" i="147"/>
  <c r="E18" i="147" s="1"/>
  <c r="C6" i="147"/>
  <c r="C12" i="147" s="1"/>
  <c r="C6" i="145"/>
  <c r="C12" i="145" s="1"/>
  <c r="D18" i="146"/>
  <c r="D16" i="146"/>
  <c r="C6" i="148"/>
  <c r="C12" i="148" s="1"/>
  <c r="D6" i="143"/>
  <c r="D12" i="143" s="1"/>
  <c r="D6" i="147"/>
  <c r="D12" i="147" s="1"/>
  <c r="D6" i="148"/>
  <c r="D12" i="148" s="1"/>
  <c r="C6" i="61"/>
  <c r="D17" i="61" s="1"/>
  <c r="D26" i="61"/>
  <c r="D16" i="61"/>
  <c r="D6" i="145"/>
  <c r="D12" i="145" s="1"/>
  <c r="C6" i="146"/>
  <c r="C12" i="146" s="1"/>
  <c r="B3" i="148"/>
  <c r="B2" i="148"/>
  <c r="E18" i="148"/>
  <c r="I12" i="148"/>
  <c r="C28" i="148" s="1"/>
  <c r="J8" i="148"/>
  <c r="J7" i="148"/>
  <c r="H7" i="148"/>
  <c r="G7" i="148"/>
  <c r="H8" i="148"/>
  <c r="G8" i="148"/>
  <c r="J9" i="148"/>
  <c r="H9" i="148"/>
  <c r="G9" i="148"/>
  <c r="J10" i="148"/>
  <c r="H10" i="148"/>
  <c r="G10" i="148"/>
  <c r="J11" i="148"/>
  <c r="H11" i="148"/>
  <c r="G11" i="148"/>
  <c r="B3" i="147"/>
  <c r="B2" i="147"/>
  <c r="I12" i="147"/>
  <c r="C28" i="147" s="1"/>
  <c r="J8" i="147"/>
  <c r="J7" i="147"/>
  <c r="H7" i="147"/>
  <c r="G7" i="147"/>
  <c r="H8" i="147"/>
  <c r="G8" i="147"/>
  <c r="J9" i="147"/>
  <c r="H9" i="147"/>
  <c r="G9" i="147"/>
  <c r="J10" i="147"/>
  <c r="H10" i="147"/>
  <c r="G10" i="147"/>
  <c r="J11" i="147"/>
  <c r="H11" i="147"/>
  <c r="G11" i="147"/>
  <c r="B3" i="146"/>
  <c r="B2" i="146"/>
  <c r="I12" i="146"/>
  <c r="C28" i="146" s="1"/>
  <c r="J8" i="146"/>
  <c r="J7" i="146"/>
  <c r="H7" i="146"/>
  <c r="G7" i="146"/>
  <c r="H8" i="146"/>
  <c r="G8" i="146"/>
  <c r="J9" i="146"/>
  <c r="H9" i="146"/>
  <c r="G9" i="146"/>
  <c r="J10" i="146"/>
  <c r="H10" i="146"/>
  <c r="G10" i="146"/>
  <c r="J11" i="146"/>
  <c r="H11" i="146"/>
  <c r="G11" i="146"/>
  <c r="B3" i="145"/>
  <c r="B2" i="145"/>
  <c r="I12" i="145"/>
  <c r="C28" i="145" s="1"/>
  <c r="J8" i="145"/>
  <c r="J7" i="145"/>
  <c r="H7" i="145"/>
  <c r="G7" i="145"/>
  <c r="H8" i="145"/>
  <c r="G8" i="145"/>
  <c r="J9" i="145"/>
  <c r="H9" i="145"/>
  <c r="G9" i="145"/>
  <c r="J10" i="145"/>
  <c r="H10" i="145"/>
  <c r="G10" i="145"/>
  <c r="J11" i="145"/>
  <c r="H11" i="145"/>
  <c r="G11" i="145"/>
  <c r="B3" i="144"/>
  <c r="B2" i="144"/>
  <c r="G7" i="144"/>
  <c r="G8" i="144"/>
  <c r="B3" i="143"/>
  <c r="B2" i="143"/>
  <c r="E18" i="143"/>
  <c r="I12" i="143"/>
  <c r="C28" i="143" s="1"/>
  <c r="J8" i="143"/>
  <c r="J7" i="143"/>
  <c r="H7" i="143"/>
  <c r="G7" i="143"/>
  <c r="H8" i="143"/>
  <c r="G8" i="143"/>
  <c r="J9" i="143"/>
  <c r="H9" i="143"/>
  <c r="G9" i="143"/>
  <c r="J10" i="143"/>
  <c r="H10" i="143"/>
  <c r="G10" i="143"/>
  <c r="J11" i="143"/>
  <c r="H11" i="143"/>
  <c r="G11" i="143"/>
  <c r="B3" i="61"/>
  <c r="B2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E9" i="144" l="1"/>
  <c r="F7" i="144" s="1"/>
  <c r="C12" i="61"/>
  <c r="E18" i="146"/>
  <c r="E17" i="61"/>
  <c r="E16" i="148"/>
  <c r="E18" i="145"/>
  <c r="E16" i="147"/>
  <c r="E23" i="148"/>
  <c r="E16" i="143"/>
  <c r="E16" i="145"/>
  <c r="E16" i="146"/>
  <c r="E23" i="147"/>
  <c r="E18" i="61"/>
  <c r="E23" i="143"/>
  <c r="E24" i="61"/>
  <c r="E25" i="61"/>
  <c r="E23" i="146"/>
  <c r="E16" i="61"/>
  <c r="E26" i="61"/>
  <c r="C85" i="145"/>
  <c r="C85" i="148"/>
  <c r="C85" i="147"/>
  <c r="C85" i="143"/>
  <c r="C85" i="146"/>
  <c r="E17" i="143"/>
  <c r="E24" i="143"/>
  <c r="E17" i="145"/>
  <c r="E17" i="146"/>
  <c r="E24" i="146"/>
  <c r="E17" i="147"/>
  <c r="E24" i="147"/>
  <c r="E17" i="148"/>
  <c r="E24" i="148"/>
  <c r="E19" i="61"/>
  <c r="E22" i="143"/>
  <c r="E22" i="146"/>
  <c r="E22" i="147"/>
  <c r="E22" i="148"/>
  <c r="G12" i="148"/>
  <c r="H12" i="148"/>
  <c r="D28" i="148" s="1"/>
  <c r="J12" i="148"/>
  <c r="E28" i="148" s="1"/>
  <c r="E12" i="148"/>
  <c r="G12" i="147"/>
  <c r="H12" i="147"/>
  <c r="D28" i="147" s="1"/>
  <c r="J12" i="147"/>
  <c r="E28" i="147" s="1"/>
  <c r="E12" i="147"/>
  <c r="G12" i="146"/>
  <c r="H12" i="146"/>
  <c r="D28" i="146" s="1"/>
  <c r="J12" i="146"/>
  <c r="E28" i="146" s="1"/>
  <c r="E12" i="146"/>
  <c r="G12" i="145"/>
  <c r="H12" i="145"/>
  <c r="D28" i="145" s="1"/>
  <c r="J12" i="145"/>
  <c r="E28" i="145" s="1"/>
  <c r="E12" i="145"/>
  <c r="G9" i="144"/>
  <c r="G12" i="143"/>
  <c r="H12" i="143"/>
  <c r="D28" i="143" s="1"/>
  <c r="J12" i="143"/>
  <c r="E28" i="143" s="1"/>
  <c r="E12" i="143"/>
  <c r="E23" i="61"/>
  <c r="G12" i="61"/>
  <c r="H12" i="61"/>
  <c r="D30" i="61" s="1"/>
  <c r="J12" i="61"/>
  <c r="E30" i="61" s="1"/>
  <c r="F9" i="144" l="1"/>
  <c r="F8" i="144"/>
  <c r="E6" i="144"/>
  <c r="F6" i="144" s="1"/>
  <c r="E22" i="145"/>
  <c r="E24" i="145"/>
  <c r="E23" i="145"/>
  <c r="F12" i="148"/>
  <c r="E6" i="148"/>
  <c r="F6" i="148" s="1"/>
  <c r="F7" i="148"/>
  <c r="F8" i="148"/>
  <c r="F9" i="148"/>
  <c r="F10" i="148"/>
  <c r="F11" i="148"/>
  <c r="F12" i="147"/>
  <c r="E6" i="147"/>
  <c r="F6" i="147" s="1"/>
  <c r="F7" i="147"/>
  <c r="F8" i="147"/>
  <c r="F9" i="147"/>
  <c r="F10" i="147"/>
  <c r="F11" i="147"/>
  <c r="F12" i="146"/>
  <c r="E6" i="146"/>
  <c r="F6" i="146" s="1"/>
  <c r="F7" i="146"/>
  <c r="F8" i="146"/>
  <c r="F9" i="146"/>
  <c r="F10" i="146"/>
  <c r="F11" i="146"/>
  <c r="F12" i="145"/>
  <c r="E6" i="145"/>
  <c r="F6" i="145" s="1"/>
  <c r="F7" i="145"/>
  <c r="F8" i="145"/>
  <c r="F9" i="145"/>
  <c r="F10" i="145"/>
  <c r="F11" i="145"/>
  <c r="F12" i="143"/>
  <c r="E6" i="143"/>
  <c r="F6" i="143" s="1"/>
  <c r="F7" i="143"/>
  <c r="F8" i="143"/>
  <c r="F9" i="143"/>
  <c r="F10" i="143"/>
  <c r="F11" i="143"/>
</calcChain>
</file>

<file path=xl/sharedStrings.xml><?xml version="1.0" encoding="utf-8"?>
<sst xmlns="http://schemas.openxmlformats.org/spreadsheetml/2006/main" count="288977" uniqueCount="323">
  <si>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</si>
  <si>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</si>
  <si>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</si>
  <si>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</si>
  <si>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</si>
  <si>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</si>
  <si>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</si>
  <si>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</si>
  <si>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</si>
  <si>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</si>
  <si>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</si>
  <si>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</si>
  <si>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</si>
  <si>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</si>
  <si>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</si>
  <si>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</si>
  <si>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</si>
  <si>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</si>
  <si>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</si>
  <si>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</si>
  <si>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</si>
  <si>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</si>
  <si>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</si>
  <si>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</si>
  <si>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</si>
  <si>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</si>
  <si>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</si>
  <si>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</si>
  <si>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</si>
  <si>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</si>
  <si>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</si>
  <si>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</si>
  <si>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</si>
  <si>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</si>
  <si>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</si>
  <si>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</si>
  <si>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</si>
  <si>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</si>
  <si>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</si>
  <si>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</si>
  <si>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</si>
  <si>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</si>
  <si>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</si>
  <si>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</si>
  <si>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</si>
  <si>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</si>
  <si>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</si>
  <si>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</si>
  <si>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</si>
  <si>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</si>
  <si>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</si>
  <si>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</si>
  <si>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</si>
  <si>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</si>
  <si>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</si>
  <si>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</si>
  <si>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</si>
  <si>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</si>
  <si>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</si>
  <si>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</si>
  <si>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</si>
  <si>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</si>
  <si>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</si>
  <si>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</si>
  <si>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</si>
  <si>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</si>
  <si>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</si>
  <si>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</si>
  <si>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</si>
  <si>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</si>
  <si>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</si>
  <si>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</si>
  <si>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</si>
  <si>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</si>
  <si>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</si>
  <si>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</si>
  <si>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</si>
  <si>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</si>
  <si>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</si>
  <si>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</si>
  <si>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</si>
  <si>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</si>
  <si>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</si>
  <si>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</si>
  <si>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</si>
  <si>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</si>
  <si>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</si>
  <si>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</si>
  <si>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</si>
  <si>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</si>
  <si>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</si>
  <si>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</si>
  <si>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</si>
  <si>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</si>
  <si>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</si>
  <si>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</si>
  <si>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</si>
  <si>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</si>
  <si>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</si>
  <si>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</si>
  <si>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</si>
  <si>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</si>
  <si>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</si>
  <si>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</si>
  <si>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</si>
  <si>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</si>
  <si>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</si>
  <si>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</si>
  <si>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</si>
  <si>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</si>
  <si>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</si>
  <si>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</si>
  <si>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</si>
  <si>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</si>
  <si>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</si>
  <si>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</si>
  <si>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</si>
  <si>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</si>
  <si>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</si>
  <si>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</si>
  <si>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</si>
  <si>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</si>
  <si>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</si>
  <si>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</si>
  <si>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</si>
  <si>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</si>
  <si>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</si>
  <si>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</si>
  <si>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</si>
  <si>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</si>
  <si>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</si>
  <si>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</si>
  <si>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</si>
  <si>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</si>
  <si>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</si>
  <si>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</si>
  <si>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</si>
  <si>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</si>
  <si>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</si>
  <si>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</si>
  <si>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</si>
  <si>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</si>
  <si>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</si>
  <si>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</si>
  <si>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</si>
  <si>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</si>
  <si>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</si>
  <si>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</si>
  <si>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</si>
  <si>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</si>
  <si>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</si>
  <si>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</si>
  <si>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</si>
  <si>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</si>
  <si>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</si>
  <si>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</si>
  <si>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</si>
  <si>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</si>
  <si>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</si>
  <si>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</si>
  <si>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</si>
  <si>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</si>
  <si>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</si>
  <si>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</si>
  <si>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</si>
  <si>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</si>
  <si>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</si>
  <si>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</si>
  <si>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</si>
  <si>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</si>
  <si>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</si>
  <si>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</si>
  <si>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</si>
  <si>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</si>
  <si>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</si>
  <si>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</si>
  <si>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</si>
  <si>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</si>
  <si>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</si>
  <si>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</si>
  <si>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</si>
  <si>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</si>
  <si>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</si>
  <si>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</si>
  <si>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</si>
  <si>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</si>
  <si>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</si>
  <si>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</si>
  <si>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</si>
  <si>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</si>
  <si>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</si>
  <si>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</si>
  <si>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</si>
  <si>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</si>
  <si>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</si>
  <si>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</si>
  <si>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</si>
  <si>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</si>
  <si>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</si>
  <si>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</si>
  <si>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</si>
  <si>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</si>
  <si>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</si>
  <si>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</si>
  <si>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</si>
  <si>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</si>
  <si>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</si>
  <si>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</si>
  <si>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</si>
  <si>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</si>
  <si>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</si>
  <si>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</si>
  <si>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</si>
  <si>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</si>
  <si>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</si>
  <si>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</si>
  <si>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</si>
  <si>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</si>
  <si>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</si>
  <si>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</si>
  <si>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</si>
  <si>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</si>
  <si>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</si>
  <si>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</si>
  <si>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</si>
  <si>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</si>
  <si>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</si>
  <si>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</si>
  <si>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</si>
  <si>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</si>
  <si>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</si>
  <si>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</si>
  <si>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</si>
  <si>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</si>
  <si>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</si>
  <si>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</si>
  <si>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</si>
  <si>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</si>
  <si>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</si>
  <si>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</si>
  <si>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</si>
  <si>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</si>
  <si>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</si>
  <si>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</si>
  <si>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</si>
  <si>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</si>
  <si>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</si>
  <si>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</si>
  <si>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</si>
  <si>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</si>
  <si>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</si>
  <si>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</si>
  <si>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</si>
  <si>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</si>
  <si>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</si>
  <si>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</si>
  <si>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</si>
  <si>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</si>
  <si>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</si>
  <si>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</si>
  <si>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</si>
  <si>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</si>
  <si>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</si>
  <si>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</si>
  <si>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</si>
  <si>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</si>
  <si>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</si>
  <si>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</si>
  <si>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</si>
  <si>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</si>
  <si>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</si>
  <si>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</si>
  <si>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</si>
  <si>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</si>
  <si>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</si>
  <si>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</si>
  <si>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</si>
  <si>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</si>
  <si>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</si>
  <si>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</si>
  <si>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</si>
  <si>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</si>
  <si>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EXATAS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</si>
  <si>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</si>
  <si>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</si>
  <si>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</si>
  <si>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</si>
  <si>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</si>
  <si>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Exatas em 2021?</t>
  </si>
  <si>
    <t>Eixo 5: questão 135</t>
  </si>
  <si>
    <t>Avalie os serviços prestados pelas unidades do Setor de Ciências Exatas que você utilizou em 2021: [Direção: Secretaria, Administrativo, Financeiro, Almoxarifado]</t>
  </si>
  <si>
    <t>Eixo 5: questão 136</t>
  </si>
  <si>
    <t>Avalie os serviços prestados pelas unidades do Setor de Ciências Exatas que você utilizou em 2021: [Secretarias das Coordenações de Cursos de Graduação]</t>
  </si>
  <si>
    <t>Eixo 5: questão 137</t>
  </si>
  <si>
    <t>Avalie os serviços prestados pelas unidades do Setor de Ciências Exatas que você utilizou em 2021: [Secretarias de Programas de Pós-Graduação]</t>
  </si>
  <si>
    <t>Eixo 5: questão 138</t>
  </si>
  <si>
    <t>Avalie os serviços prestados pelas unidades do Setor de Ciências Exatas que você utilizou em 2021: [Secretarias de Departamentos]</t>
  </si>
  <si>
    <t>Eixo 5: questão 139</t>
  </si>
  <si>
    <t>Avalie os serviços prestados pelas unidades do Setor de Ciências Exatas que você utilizou em 2021: [Laboratórios, Clínicas, Oficinas, Ateliês e/ou equivalentes]</t>
  </si>
  <si>
    <t>Eixo 5: questão 140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</si>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</sst>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0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2D2244D5-2DF9-4660-AF73-D6EE80AF945E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292096"/>
        <c:axId val="82306176"/>
      </c:barChart>
      <c:catAx>
        <c:axId val="822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306176"/>
        <c:crosses val="autoZero"/>
        <c:auto val="1"/>
        <c:lblAlgn val="ctr"/>
        <c:lblOffset val="100"/>
        <c:noMultiLvlLbl val="0"/>
      </c:catAx>
      <c:valAx>
        <c:axId val="823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'Q5.135ET'!$C$5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'Q5.135ET'!$B$6:$B$8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'Q5.135ET'!$C$6:$C$8</c:f>
              <c:numCache>
                <c:formatCode>General</c:formatCode>
                <c:ptCount val="3"/>
                <c:pt idx="0">
                  <c:v>0</c:v>
                </c:pt>
                <c:pt idx="1">
                  <c:v>48</c:v>
                </c:pt>
                <c:pt idx="2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5-4888-BB88-EDD8C3789EFB}"/>
            </c:ext>
          </c:extLst>
        </c:ser>
        <c:ser>
          <c:idx val="1"/>
          <c:order val="1"/>
          <c:tx>
            <c:strRef>
              <c:f>'Q5.135ET'!$D$5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'Q5.135ET'!$B$6:$B$8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'Q5.135ET'!$D$6:$D$8</c:f>
              <c:numCache>
                <c:formatCode>General</c:formatCode>
                <c:ptCount val="3"/>
                <c:pt idx="0">
                  <c:v>0</c:v>
                </c:pt>
                <c:pt idx="1">
                  <c:v>35</c:v>
                </c:pt>
                <c:pt idx="2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5-4888-BB88-EDD8C378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24096"/>
        <c:axId val="137142272"/>
      </c:barChart>
      <c:catAx>
        <c:axId val="1371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42272"/>
        <c:crosses val="autoZero"/>
        <c:auto val="1"/>
        <c:lblAlgn val="ctr"/>
        <c:lblOffset val="100"/>
        <c:noMultiLvlLbl val="0"/>
      </c:catAx>
      <c:valAx>
        <c:axId val="1371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'Q5.136'!$C$6:$C$11</c:f>
              <c:numCache>
                <c:formatCode>General</c:formatCode>
                <c:ptCount val="6"/>
                <c:pt idx="0">
                  <c:v>797</c:v>
                </c:pt>
                <c:pt idx="1">
                  <c:v>26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AFD-A618-EBBC4230861A}"/>
            </c:ext>
          </c:extLst>
        </c:ser>
        <c:ser>
          <c:idx val="1"/>
          <c:order val="1"/>
          <c:tx>
            <c:strRef>
              <c:f>'Q5.136'!$D$5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'Q5.136'!$D$6:$D$11</c:f>
              <c:numCache>
                <c:formatCode>General</c:formatCode>
                <c:ptCount val="6"/>
                <c:pt idx="0">
                  <c:v>545</c:v>
                </c:pt>
                <c:pt idx="1">
                  <c:v>10</c:v>
                </c:pt>
                <c:pt idx="2">
                  <c:v>16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AFD-A618-EBBC423086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609920"/>
        <c:axId val="134685440"/>
      </c:barChart>
      <c:catAx>
        <c:axId val="1346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685440"/>
        <c:crosses val="autoZero"/>
        <c:auto val="1"/>
        <c:lblAlgn val="ctr"/>
        <c:lblOffset val="100"/>
        <c:noMultiLvlLbl val="0"/>
      </c:catAx>
      <c:valAx>
        <c:axId val="134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6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0-48AF-9A0B-196AFF1E85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50-48AF-9A0B-196AFF1E85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50-48AF-9A0B-196AFF1E857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'Q5.136'!$D$16:$D$18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50-48AF-9A0B-196AFF1E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55-4D22-8446-9854CFBB4C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55-4D22-8446-9854CFBB4C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55-4D22-8446-9854CFBB4C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'Q5.136'!$D$22:$D$24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55-4D22-8446-9854CFBB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'Q5.136'!$C$28:$E$28</c:f>
              <c:numCache>
                <c:formatCode>0.00</c:formatCode>
                <c:ptCount val="3"/>
                <c:pt idx="0">
                  <c:v>10</c:v>
                </c:pt>
                <c:pt idx="1">
                  <c:v>8.8923076923076927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E-4867-8768-3B20FFC0702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176192"/>
        <c:axId val="137187328"/>
      </c:lineChart>
      <c:catAx>
        <c:axId val="1371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87328"/>
        <c:crosses val="autoZero"/>
        <c:auto val="1"/>
        <c:lblAlgn val="ctr"/>
        <c:lblOffset val="100"/>
        <c:noMultiLvlLbl val="0"/>
      </c:catAx>
      <c:valAx>
        <c:axId val="1371873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761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'Q5.137'!$C$6:$C$11</c:f>
              <c:numCache>
                <c:formatCode>General</c:formatCode>
                <c:ptCount val="6"/>
                <c:pt idx="0">
                  <c:v>804</c:v>
                </c:pt>
                <c:pt idx="1">
                  <c:v>19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2-4AD8-A35D-44610458133C}"/>
            </c:ext>
          </c:extLst>
        </c:ser>
        <c:ser>
          <c:idx val="1"/>
          <c:order val="1"/>
          <c:tx>
            <c:strRef>
              <c:f>'Q5.137'!$D$5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'Q5.137'!$D$6:$D$11</c:f>
              <c:numCache>
                <c:formatCode>General</c:formatCode>
                <c:ptCount val="6"/>
                <c:pt idx="0">
                  <c:v>547</c:v>
                </c:pt>
                <c:pt idx="1">
                  <c:v>13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2-4AD8-A35D-4461045813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222784"/>
        <c:axId val="137232768"/>
      </c:barChart>
      <c:catAx>
        <c:axId val="1372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32768"/>
        <c:crosses val="autoZero"/>
        <c:auto val="1"/>
        <c:lblAlgn val="ctr"/>
        <c:lblOffset val="100"/>
        <c:noMultiLvlLbl val="0"/>
      </c:catAx>
      <c:valAx>
        <c:axId val="137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2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0-4F3D-8152-A170785990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0-4F3D-8152-A170785990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B0-4F3D-8152-A170785990F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'Q5.137'!$D$16:$D$18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B0-4F3D-8152-A1707859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4-491B-A2DA-CE08A35E4B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4-491B-A2DA-CE08A35E4B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4-491B-A2DA-CE08A35E4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'Q5.137'!$D$22:$D$24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B4-491B-A2DA-CE08A35E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'Q5.137'!$C$28:$E$28</c:f>
              <c:numCache>
                <c:formatCode>0.00</c:formatCode>
                <c:ptCount val="3"/>
                <c:pt idx="0">
                  <c:v>10</c:v>
                </c:pt>
                <c:pt idx="1">
                  <c:v>8.9642857142857135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E-4588-A1A3-AADBD980ABE7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56032"/>
        <c:axId val="137358720"/>
      </c:lineChart>
      <c:catAx>
        <c:axId val="1373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58720"/>
        <c:crosses val="autoZero"/>
        <c:auto val="1"/>
        <c:lblAlgn val="ctr"/>
        <c:lblOffset val="100"/>
        <c:noMultiLvlLbl val="0"/>
      </c:catAx>
      <c:valAx>
        <c:axId val="13735872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560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'Q5.138'!$C$6:$C$11</c:f>
              <c:numCache>
                <c:formatCode>General</c:formatCode>
                <c:ptCount val="6"/>
                <c:pt idx="0">
                  <c:v>813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1-4D7F-8FF6-FE8A9DC40343}"/>
            </c:ext>
          </c:extLst>
        </c:ser>
        <c:ser>
          <c:idx val="1"/>
          <c:order val="1"/>
          <c:tx>
            <c:strRef>
              <c:f>'Q5.138'!$D$5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'Q5.138'!$D$6:$D$11</c:f>
              <c:numCache>
                <c:formatCode>General</c:formatCode>
                <c:ptCount val="6"/>
                <c:pt idx="0">
                  <c:v>558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1-4D7F-8FF6-FE8A9DC403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91744"/>
        <c:axId val="137797632"/>
      </c:barChart>
      <c:catAx>
        <c:axId val="1377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797632"/>
        <c:crosses val="autoZero"/>
        <c:auto val="1"/>
        <c:lblAlgn val="ctr"/>
        <c:lblOffset val="100"/>
        <c:noMultiLvlLbl val="0"/>
      </c:catAx>
      <c:valAx>
        <c:axId val="1377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7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1-4B55-AD32-691C2B6237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F1-4B55-AD32-691C2B6237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F1-4B55-AD32-691C2B6237E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'Q5.138'!$D$16:$D$18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F1-4B55-AD32-691C2B62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0E-419A-A396-AAB515166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0E-419A-A396-AAB515166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0E-419A-A396-AAB5151660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'Q5.138'!$D$22:$D$24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0E-419A-A396-AAB51516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'Q5.138'!$C$28:$E$28</c:f>
              <c:numCache>
                <c:formatCode>0.00</c:formatCode>
                <c:ptCount val="3"/>
                <c:pt idx="0">
                  <c:v>10</c:v>
                </c:pt>
                <c:pt idx="1">
                  <c:v>9.1666666666666661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E-493F-BFB5-E7BD0EA0E097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867648"/>
        <c:axId val="137870336"/>
      </c:lineChart>
      <c:catAx>
        <c:axId val="1378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70336"/>
        <c:crosses val="autoZero"/>
        <c:auto val="1"/>
        <c:lblAlgn val="ctr"/>
        <c:lblOffset val="100"/>
        <c:noMultiLvlLbl val="0"/>
      </c:catAx>
      <c:valAx>
        <c:axId val="1378703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676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'Q5.139'!$C$6:$C$11</c:f>
              <c:numCache>
                <c:formatCode>General</c:formatCode>
                <c:ptCount val="6"/>
                <c:pt idx="0">
                  <c:v>798</c:v>
                </c:pt>
                <c:pt idx="1">
                  <c:v>21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D-42BE-9B56-22B5A4A073E0}"/>
            </c:ext>
          </c:extLst>
        </c:ser>
        <c:ser>
          <c:idx val="1"/>
          <c:order val="1"/>
          <c:tx>
            <c:strRef>
              <c:f>'Q5.139'!$D$5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'Q5.139'!$D$6:$D$11</c:f>
              <c:numCache>
                <c:formatCode>General</c:formatCode>
                <c:ptCount val="6"/>
                <c:pt idx="0">
                  <c:v>544</c:v>
                </c:pt>
                <c:pt idx="1">
                  <c:v>12</c:v>
                </c:pt>
                <c:pt idx="2">
                  <c:v>12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D-42BE-9B56-22B5A4A073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78080"/>
        <c:axId val="138079616"/>
      </c:barChart>
      <c:catAx>
        <c:axId val="1380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79616"/>
        <c:crosses val="autoZero"/>
        <c:auto val="1"/>
        <c:lblAlgn val="ctr"/>
        <c:lblOffset val="100"/>
        <c:noMultiLvlLbl val="0"/>
      </c:catAx>
      <c:valAx>
        <c:axId val="1380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7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E-4C73-B62E-6F3A4ECB7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E-4C73-B62E-6F3A4ECB7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1E-4C73-B62E-6F3A4ECB773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'Q5.139'!$C$16:$C$18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'Q5.139'!$D$16:$D$18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1E-4C73-B62E-6F3A4ECB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C-453A-905A-DB11A8D821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C-453A-905A-DB11A8D821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5C-453A-905A-DB11A8D821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'Q5.139'!$C$22:$C$24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'Q5.139'!$D$22:$D$24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5C-453A-905A-DB11A8D8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'Q5.139'!$B$28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'Q5.139'!$C$27:$E$27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'Q5.139'!$C$28:$E$28</c:f>
              <c:numCache>
                <c:formatCode>0.00</c:formatCode>
                <c:ptCount val="3"/>
                <c:pt idx="0">
                  <c:v>10</c:v>
                </c:pt>
                <c:pt idx="1">
                  <c:v>8.6461538461538456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3-431F-B40F-98F1F61E36F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121152"/>
        <c:axId val="131123840"/>
      </c:lineChart>
      <c:catAx>
        <c:axId val="1311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23840"/>
        <c:crosses val="autoZero"/>
        <c:auto val="1"/>
        <c:lblAlgn val="ctr"/>
        <c:lblOffset val="100"/>
        <c:noMultiLvlLbl val="0"/>
      </c:catAx>
      <c:valAx>
        <c:axId val="13112384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211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'Q5.140'!$C$6:$C$11</c:f>
              <c:numCache>
                <c:formatCode>General</c:formatCode>
                <c:ptCount val="6"/>
                <c:pt idx="0">
                  <c:v>814</c:v>
                </c:pt>
                <c:pt idx="1">
                  <c:v>16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A-4640-8B30-B55EAB54AA11}"/>
            </c:ext>
          </c:extLst>
        </c:ser>
        <c:ser>
          <c:idx val="1"/>
          <c:order val="1"/>
          <c:tx>
            <c:strRef>
              <c:f>'Q5.140'!$D$5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'Q5.140'!$D$6:$D$11</c:f>
              <c:numCache>
                <c:formatCode>General</c:formatCode>
                <c:ptCount val="6"/>
                <c:pt idx="0">
                  <c:v>567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A-4640-8B30-B55EAB54A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329088"/>
        <c:axId val="136330624"/>
      </c:barChart>
      <c:catAx>
        <c:axId val="1363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330624"/>
        <c:crosses val="autoZero"/>
        <c:auto val="1"/>
        <c:lblAlgn val="ctr"/>
        <c:lblOffset val="100"/>
        <c:noMultiLvlLbl val="0"/>
      </c:catAx>
      <c:valAx>
        <c:axId val="1363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3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2-42AE-AC99-0E37898E3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42-42AE-AC99-0E37898E38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42-42AE-AC99-0E37898E381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'Q5.140'!$D$16:$D$18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42-42AE-AC99-0E37898E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F-4BA0-921B-1456DE904F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F-4BA0-921B-1456DE904F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F-4BA0-921B-1456DE904F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'Q5.140'!$D$22:$D$24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EF-4BA0-921B-1456DE904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'Q5.140'!$C$28:$E$28</c:f>
              <c:numCache>
                <c:formatCode>0.00</c:formatCode>
                <c:ptCount val="3"/>
                <c:pt idx="0">
                  <c:v>10</c:v>
                </c:pt>
                <c:pt idx="1">
                  <c:v>9.4615384615384617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D-4B25-95E6-13C00209A4CF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54816"/>
        <c:axId val="139557504"/>
      </c:lineChart>
      <c:catAx>
        <c:axId val="1395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57504"/>
        <c:crosses val="autoZero"/>
        <c:auto val="1"/>
        <c:lblAlgn val="ctr"/>
        <c:lblOffset val="100"/>
        <c:noMultiLvlLbl val="0"/>
      </c:catAx>
      <c:valAx>
        <c:axId val="1395575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5481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8ADFF-57B7-4724-8638-BDFE16C1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C22F04-87F8-402A-892C-6E1ACAA76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CC5C207-0B08-4443-A7A3-832C52FA69E4}"/>
            </a:ext>
            <a:ext uri="{147F2762-F138-4A5C-976F-8EAC2B608ADB}">
              <a16:predDERef xmlns:a16="http://schemas.microsoft.com/office/drawing/2014/main" pred="{B2C22F04-87F8-402A-892C-6E1ACAA76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7620169C-E6D2-41F2-B00B-187ED4AA2D65}"/>
            </a:ext>
            <a:ext uri="{147F2762-F138-4A5C-976F-8EAC2B608ADB}">
              <a16:predDERef xmlns:a16="http://schemas.microsoft.com/office/drawing/2014/main" pred="{FCC5C207-0B08-4443-A7A3-832C52FA6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FD43D1CF-F153-4C45-9B6A-E3008887B228}"/>
            </a:ext>
            <a:ext uri="{147F2762-F138-4A5C-976F-8EAC2B608ADB}">
              <a16:predDERef xmlns:a16="http://schemas.microsoft.com/office/drawing/2014/main" pred="{7620169C-E6D2-41F2-B00B-187ED4AA2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98EA03-3C57-4B40-A05E-F9FA76C2E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FCA368A-E4E0-4A67-93A4-1BED3DD4F1BE}"/>
            </a:ext>
            <a:ext uri="{147F2762-F138-4A5C-976F-8EAC2B608ADB}">
              <a16:predDERef xmlns:a16="http://schemas.microsoft.com/office/drawing/2014/main" pred="{6798EA03-3C57-4B40-A05E-F9FA76C2E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2C1DE69-7291-49CE-825F-5BAF8DFAE12D}"/>
            </a:ext>
            <a:ext uri="{147F2762-F138-4A5C-976F-8EAC2B608ADB}">
              <a16:predDERef xmlns:a16="http://schemas.microsoft.com/office/drawing/2014/main" pred="{CFCA368A-E4E0-4A67-93A4-1BED3DD4F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8E7D845-E6B7-48C7-8BCD-59FD16A612DB}"/>
            </a:ext>
            <a:ext uri="{147F2762-F138-4A5C-976F-8EAC2B608ADB}">
              <a16:predDERef xmlns:a16="http://schemas.microsoft.com/office/drawing/2014/main" pred="{12C1DE69-7291-49CE-825F-5BAF8DFA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B340B6-17F0-4275-B8CD-EC7463AD2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6C3DE16-9366-4667-939E-64EDB1C3BBB4}"/>
            </a:ext>
            <a:ext uri="{147F2762-F138-4A5C-976F-8EAC2B608ADB}">
              <a16:predDERef xmlns:a16="http://schemas.microsoft.com/office/drawing/2014/main" pred="{90B340B6-17F0-4275-B8CD-EC7463AD2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C80B711B-C753-44E8-AA27-316DC1E85537}"/>
            </a:ext>
            <a:ext uri="{147F2762-F138-4A5C-976F-8EAC2B608ADB}">
              <a16:predDERef xmlns:a16="http://schemas.microsoft.com/office/drawing/2014/main" pred="{46C3DE16-9366-4667-939E-64EDB1C3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F7127BA5-AD04-483F-BBBA-3165953B5E6A}"/>
            </a:ext>
            <a:ext uri="{147F2762-F138-4A5C-976F-8EAC2B608ADB}">
              <a16:predDERef xmlns:a16="http://schemas.microsoft.com/office/drawing/2014/main" pred="{C80B711B-C753-44E8-AA27-316DC1E85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E1A0D6-1AE1-42B3-A87A-8C6561C7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5F033F7-F634-43A5-B971-4722306D3176}"/>
            </a:ext>
            <a:ext uri="{147F2762-F138-4A5C-976F-8EAC2B608ADB}">
              <a16:predDERef xmlns:a16="http://schemas.microsoft.com/office/drawing/2014/main" pred="{A0E1A0D6-1AE1-42B3-A87A-8C6561C7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FF009AC0-6B9C-4B04-96E6-65A32701AC28}"/>
            </a:ext>
            <a:ext uri="{147F2762-F138-4A5C-976F-8EAC2B608ADB}">
              <a16:predDERef xmlns:a16="http://schemas.microsoft.com/office/drawing/2014/main" pred="{95F033F7-F634-43A5-B971-4722306D3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B0C15429-68A4-486A-B4E5-3BB3E610E877}"/>
            </a:ext>
            <a:ext uri="{147F2762-F138-4A5C-976F-8EAC2B608ADB}">
              <a16:predDERef xmlns:a16="http://schemas.microsoft.com/office/drawing/2014/main" pred="{FF009AC0-6B9C-4B04-96E6-65A32701A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CD1901-C557-40A3-9BA4-20169D7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29724ED-3402-40D4-959E-2425B096D4EE}"/>
            </a:ext>
            <a:ext uri="{147F2762-F138-4A5C-976F-8EAC2B608ADB}">
              <a16:predDERef xmlns:a16="http://schemas.microsoft.com/office/drawing/2014/main" pred="{3ECD1901-C557-40A3-9BA4-20169D7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982C7B7-8040-485E-A37F-3360FEC0190A}"/>
            </a:ext>
            <a:ext uri="{147F2762-F138-4A5C-976F-8EAC2B608ADB}">
              <a16:predDERef xmlns:a16="http://schemas.microsoft.com/office/drawing/2014/main" pred="{129724ED-3402-40D4-959E-2425B096D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8F450BB3-4F45-49E8-AC73-868489E56C7E}"/>
            </a:ext>
            <a:ext uri="{147F2762-F138-4A5C-976F-8EAC2B608ADB}">
              <a16:predDERef xmlns:a16="http://schemas.microsoft.com/office/drawing/2014/main" pred="{5982C7B7-8040-485E-A37F-3360FEC01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showGridLines="0" tabSelected="1" topLeftCell="A22" zoomScale="60" zoomScaleNormal="60" workbookViewId="0">
      <selection activeCell="H36" sqref="H36"/>
    </sheetView>
  </sheetViews>
  <sheetFormatPr defaultRowHeight="15" x14ac:dyDescent="0.2"/>
  <cols>
    <col min="1" max="1" width="9" style="43" customWidth="1"/>
    <col min="2" max="2" width="30.5703125" style="43" customWidth="1"/>
    <col min="3" max="3" width="19.28515625" style="43" customWidth="1"/>
    <col min="4" max="4" width="25.85546875" style="43" customWidth="1"/>
    <col min="5" max="5" width="36.7109375" style="43" customWidth="1"/>
    <col min="6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71" t="s">
        <v>9</v>
      </c>
      <c r="B11" s="71"/>
      <c r="C11" s="71"/>
      <c r="D11" s="71"/>
      <c r="E11" s="71"/>
      <c r="F11" s="71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73" t="s">
        <v>11</v>
      </c>
      <c r="C14" s="74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75">
        <f>COUNTIF(Resp5[Vínculo],A15)</f>
        <v>833</v>
      </c>
      <c r="C15" s="76"/>
      <c r="D15" s="58">
        <v>2019</v>
      </c>
      <c r="E15" s="59">
        <f>ROUND(B15/$D15*100,3)</f>
        <v>41.258000000000003</v>
      </c>
      <c r="F15" s="53"/>
    </row>
    <row r="16" spans="1:15" x14ac:dyDescent="0.2">
      <c r="A16" s="60" t="s">
        <v>15</v>
      </c>
      <c r="B16" s="75">
        <f>COUNTIF(Resp5[Vínculo],A16)</f>
        <v>574</v>
      </c>
      <c r="C16" s="76"/>
      <c r="D16" s="58">
        <v>2675</v>
      </c>
      <c r="E16" s="59">
        <f t="shared" ref="E16:E17" si="0">ROUND(B16/$D16*100,3)</f>
        <v>21.457999999999998</v>
      </c>
      <c r="F16" s="53"/>
    </row>
    <row r="17" spans="1:17" x14ac:dyDescent="0.2">
      <c r="A17" s="61" t="s">
        <v>16</v>
      </c>
      <c r="B17" s="75">
        <f>SUM(B15:B16)</f>
        <v>1407</v>
      </c>
      <c r="C17" s="76"/>
      <c r="D17" s="58">
        <f>SUM(D15:D16)</f>
        <v>4694</v>
      </c>
      <c r="E17" s="59">
        <f t="shared" si="0"/>
        <v>29.974</v>
      </c>
      <c r="F17" s="53"/>
    </row>
    <row r="18" spans="1:17" x14ac:dyDescent="0.2">
      <c r="A18" s="54">
        <v>1</v>
      </c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7" x14ac:dyDescent="0.2">
      <c r="A19" s="5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7" x14ac:dyDescent="0.2">
      <c r="A20" s="5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7" x14ac:dyDescent="0.2">
      <c r="A21" s="43" t="s">
        <v>18</v>
      </c>
    </row>
    <row r="22" spans="1:17" ht="39.75" customHeight="1" x14ac:dyDescent="0.2">
      <c r="A22" s="71" t="s">
        <v>19</v>
      </c>
      <c r="B22" s="71"/>
      <c r="C22" s="71"/>
      <c r="D22" s="71"/>
      <c r="E22" s="71"/>
      <c r="F22" s="71"/>
      <c r="G22" s="71"/>
      <c r="H22" s="71"/>
      <c r="I22" s="71"/>
    </row>
    <row r="24" spans="1:17" ht="15.75" x14ac:dyDescent="0.25">
      <c r="A24" s="87" t="s">
        <v>20</v>
      </c>
      <c r="B24" s="87"/>
      <c r="C24"/>
      <c r="D24" s="88" t="s">
        <v>5</v>
      </c>
      <c r="E24" s="89"/>
      <c r="F24" s="77"/>
      <c r="G24" s="77"/>
      <c r="H24" s="77"/>
      <c r="I24" s="78"/>
      <c r="J24" s="77"/>
      <c r="K24" s="77"/>
      <c r="L24" s="79"/>
      <c r="M24" s="79"/>
      <c r="N24" s="79"/>
      <c r="O24" s="79"/>
      <c r="P24" s="79"/>
      <c r="Q24" s="79"/>
    </row>
    <row r="25" spans="1:17" ht="15.75" x14ac:dyDescent="0.25">
      <c r="A25" s="90" t="s">
        <v>21</v>
      </c>
      <c r="B25" s="90"/>
      <c r="C25"/>
      <c r="D25" s="91" t="s">
        <v>22</v>
      </c>
      <c r="E25" s="91" t="s">
        <v>320</v>
      </c>
      <c r="F25" s="78"/>
      <c r="G25" s="77"/>
      <c r="H25" s="77"/>
      <c r="I25" s="81"/>
      <c r="J25" s="81"/>
      <c r="K25" s="77"/>
      <c r="L25" s="79"/>
      <c r="M25" s="79"/>
      <c r="N25" s="79"/>
      <c r="O25" s="79"/>
      <c r="P25" s="79"/>
      <c r="Q25" s="79"/>
    </row>
    <row r="26" spans="1:17" ht="15.75" x14ac:dyDescent="0.25">
      <c r="A26" s="90" t="s">
        <v>23</v>
      </c>
      <c r="B26" s="90"/>
      <c r="C26"/>
      <c r="D26" s="92" t="s">
        <v>24</v>
      </c>
      <c r="E26" s="93" t="s">
        <v>25</v>
      </c>
      <c r="F26" s="81"/>
      <c r="G26" s="81"/>
      <c r="H26" s="77"/>
      <c r="I26" s="81"/>
      <c r="J26" s="81"/>
      <c r="K26" s="77"/>
      <c r="L26" s="79"/>
      <c r="M26" s="79"/>
      <c r="N26" s="79"/>
      <c r="O26" s="79"/>
      <c r="P26" s="79"/>
      <c r="Q26" s="79"/>
    </row>
    <row r="27" spans="1:17" ht="15.75" x14ac:dyDescent="0.25">
      <c r="A27" s="90" t="s">
        <v>321</v>
      </c>
      <c r="B27" s="90"/>
      <c r="C27"/>
      <c r="D27" s="94" t="s">
        <v>26</v>
      </c>
      <c r="E27" s="95" t="s">
        <v>322</v>
      </c>
      <c r="F27" s="81"/>
      <c r="G27" s="81"/>
      <c r="H27" s="77"/>
      <c r="I27" s="81"/>
      <c r="J27" s="81"/>
      <c r="K27" s="77"/>
      <c r="L27" s="79"/>
      <c r="M27" s="79"/>
      <c r="N27" s="79"/>
      <c r="O27" s="79"/>
      <c r="P27" s="79"/>
      <c r="Q27" s="79"/>
    </row>
    <row r="28" spans="1:17" ht="15.75" x14ac:dyDescent="0.25">
      <c r="A28" s="90" t="s">
        <v>27</v>
      </c>
      <c r="B28" s="90"/>
      <c r="C28" s="96"/>
      <c r="D28" s="96"/>
      <c r="E28" s="97"/>
      <c r="F28" s="81"/>
      <c r="G28" s="81"/>
      <c r="H28" s="77"/>
      <c r="I28" s="81"/>
      <c r="J28" s="81"/>
      <c r="K28" s="77"/>
      <c r="L28" s="79"/>
      <c r="M28" s="79"/>
      <c r="N28" s="79"/>
      <c r="O28" s="79"/>
      <c r="P28" s="79"/>
      <c r="Q28" s="79"/>
    </row>
    <row r="29" spans="1:17" ht="15.75" x14ac:dyDescent="0.25">
      <c r="A29" s="90" t="s">
        <v>28</v>
      </c>
      <c r="B29" s="90"/>
      <c r="C29" s="96"/>
      <c r="D29" s="96"/>
      <c r="E29" s="97"/>
      <c r="F29" s="83"/>
      <c r="G29" s="83"/>
      <c r="H29" s="77"/>
      <c r="I29" s="77"/>
      <c r="J29" s="77"/>
      <c r="K29" s="77"/>
      <c r="L29" s="79"/>
      <c r="M29" s="79"/>
      <c r="N29" s="79"/>
      <c r="O29" s="79"/>
      <c r="P29" s="79"/>
      <c r="Q29" s="79"/>
    </row>
    <row r="30" spans="1:17" ht="15.75" x14ac:dyDescent="0.25">
      <c r="A30" s="62"/>
      <c r="B30" s="82"/>
      <c r="C30" s="83"/>
      <c r="D30" s="83"/>
      <c r="E30" s="83"/>
      <c r="F30" s="83"/>
      <c r="G30" s="83"/>
      <c r="H30" s="77"/>
      <c r="I30" s="78"/>
      <c r="J30" s="77"/>
      <c r="K30" s="77"/>
      <c r="L30" s="79"/>
      <c r="M30" s="79"/>
      <c r="N30" s="79"/>
      <c r="O30" s="79"/>
      <c r="P30" s="79"/>
      <c r="Q30" s="79"/>
    </row>
    <row r="31" spans="1:17" ht="15.75" x14ac:dyDescent="0.25">
      <c r="A31" s="62"/>
      <c r="B31" s="82"/>
      <c r="C31" s="83"/>
      <c r="D31" s="83"/>
      <c r="E31" s="83"/>
      <c r="F31" s="83"/>
      <c r="G31" s="83"/>
      <c r="H31" s="77"/>
      <c r="I31" s="81"/>
      <c r="J31" s="81"/>
      <c r="K31" s="77"/>
      <c r="L31" s="79"/>
      <c r="M31" s="79"/>
      <c r="N31" s="79"/>
      <c r="O31" s="79"/>
      <c r="P31" s="79"/>
      <c r="Q31" s="79"/>
    </row>
    <row r="32" spans="1:17" ht="15.75" x14ac:dyDescent="0.25">
      <c r="A32" s="62"/>
      <c r="B32" s="77"/>
      <c r="C32" s="77"/>
      <c r="D32" s="77"/>
      <c r="E32" s="77"/>
      <c r="F32" s="77"/>
      <c r="G32" s="77"/>
      <c r="H32" s="77"/>
      <c r="I32" s="81"/>
      <c r="J32" s="81"/>
      <c r="K32" s="77"/>
      <c r="L32" s="79"/>
      <c r="M32" s="79"/>
      <c r="N32" s="79"/>
      <c r="O32" s="79"/>
      <c r="P32" s="79"/>
      <c r="Q32" s="79"/>
    </row>
    <row r="33" spans="1:17" ht="15.75" x14ac:dyDescent="0.25">
      <c r="A33" s="62"/>
      <c r="B33" s="77"/>
      <c r="C33" s="84"/>
      <c r="D33" s="84"/>
      <c r="E33" s="77"/>
      <c r="F33" s="77"/>
      <c r="G33" s="77"/>
      <c r="H33" s="77"/>
      <c r="I33" s="77"/>
      <c r="J33" s="77"/>
      <c r="K33" s="77"/>
      <c r="L33" s="79"/>
      <c r="M33" s="79"/>
      <c r="N33" s="79"/>
      <c r="O33" s="79"/>
      <c r="P33" s="79"/>
      <c r="Q33" s="79"/>
    </row>
    <row r="34" spans="1:17" ht="15.75" x14ac:dyDescent="0.25">
      <c r="A34" s="62"/>
      <c r="B34" s="77"/>
      <c r="C34" s="85"/>
      <c r="D34" s="86"/>
      <c r="E34" s="77"/>
      <c r="F34" s="77"/>
      <c r="G34" s="77"/>
      <c r="H34" s="77"/>
      <c r="I34" s="78"/>
      <c r="J34" s="77"/>
      <c r="K34" s="77"/>
      <c r="L34" s="79"/>
      <c r="M34" s="79"/>
      <c r="N34" s="79"/>
      <c r="O34" s="79"/>
      <c r="P34" s="79"/>
      <c r="Q34" s="79"/>
    </row>
    <row r="35" spans="1:17" ht="15.75" x14ac:dyDescent="0.25">
      <c r="A35" s="62"/>
      <c r="B35" s="77"/>
      <c r="C35" s="85"/>
      <c r="D35" s="86"/>
      <c r="E35" s="77"/>
      <c r="F35" s="77"/>
      <c r="G35" s="77"/>
      <c r="H35" s="77"/>
      <c r="I35" s="81"/>
      <c r="J35" s="81"/>
      <c r="K35" s="77"/>
      <c r="L35" s="79"/>
      <c r="M35" s="79"/>
      <c r="N35" s="79"/>
      <c r="O35" s="79"/>
      <c r="P35" s="79"/>
      <c r="Q35" s="79"/>
    </row>
    <row r="36" spans="1:17" ht="15.75" x14ac:dyDescent="0.25">
      <c r="A36" s="62"/>
      <c r="B36" s="77"/>
      <c r="C36" s="85"/>
      <c r="D36" s="80"/>
      <c r="E36" s="77"/>
      <c r="F36" s="77"/>
      <c r="G36" s="77"/>
      <c r="H36" s="77"/>
      <c r="I36" s="81"/>
      <c r="J36" s="81"/>
      <c r="K36" s="77"/>
      <c r="L36" s="79"/>
      <c r="M36" s="79"/>
      <c r="N36" s="79"/>
      <c r="O36" s="79"/>
      <c r="P36" s="79"/>
      <c r="Q36" s="79"/>
    </row>
    <row r="37" spans="1:17" ht="15.75" x14ac:dyDescent="0.25">
      <c r="A37" s="62"/>
      <c r="B37" s="77"/>
      <c r="C37" s="77"/>
      <c r="D37" s="77"/>
      <c r="E37" s="77"/>
      <c r="F37" s="77"/>
      <c r="G37" s="77"/>
      <c r="H37" s="77"/>
      <c r="I37" s="79"/>
      <c r="J37" s="79"/>
      <c r="K37" s="77"/>
      <c r="L37" s="79"/>
      <c r="M37" s="79"/>
      <c r="N37" s="79"/>
      <c r="O37" s="79"/>
      <c r="P37" s="79"/>
      <c r="Q37" s="79"/>
    </row>
    <row r="38" spans="1:17" ht="15.75" x14ac:dyDescent="0.25">
      <c r="A38" s="62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9"/>
      <c r="M38" s="79"/>
      <c r="N38" s="79"/>
      <c r="O38" s="79"/>
      <c r="P38" s="79"/>
      <c r="Q38" s="79"/>
    </row>
    <row r="39" spans="1:17" ht="15.75" x14ac:dyDescent="0.25">
      <c r="A39" s="62"/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9"/>
      <c r="M39" s="79"/>
      <c r="N39" s="79"/>
      <c r="O39" s="79"/>
      <c r="P39" s="79"/>
      <c r="Q39" s="79"/>
    </row>
    <row r="40" spans="1:17" ht="15.75" x14ac:dyDescent="0.25">
      <c r="A40" s="62"/>
      <c r="B40" s="77"/>
      <c r="C40" s="77"/>
      <c r="D40" s="77"/>
      <c r="E40" s="77"/>
      <c r="F40" s="77"/>
      <c r="G40" s="77"/>
      <c r="H40" s="77"/>
      <c r="I40" s="81"/>
      <c r="J40" s="81"/>
      <c r="K40" s="77"/>
      <c r="L40" s="79"/>
      <c r="M40" s="79"/>
      <c r="N40" s="79"/>
      <c r="O40" s="79"/>
      <c r="P40" s="79"/>
      <c r="Q40" s="79"/>
    </row>
    <row r="41" spans="1:17" ht="15.75" x14ac:dyDescent="0.25">
      <c r="A41" s="62"/>
      <c r="B41" s="77"/>
      <c r="C41" s="77"/>
      <c r="D41" s="77"/>
      <c r="E41" s="77"/>
      <c r="F41" s="77"/>
      <c r="G41" s="77"/>
      <c r="H41" s="77"/>
      <c r="I41" s="81"/>
      <c r="J41" s="81"/>
      <c r="K41" s="77"/>
      <c r="L41" s="79"/>
      <c r="M41" s="79"/>
      <c r="N41" s="79"/>
      <c r="O41" s="79"/>
      <c r="P41" s="79"/>
      <c r="Q41" s="79"/>
    </row>
    <row r="42" spans="1:17" ht="15.75" x14ac:dyDescent="0.25">
      <c r="A42" s="62"/>
      <c r="B42" s="77"/>
      <c r="C42" s="77"/>
      <c r="D42" s="77"/>
      <c r="E42" s="77"/>
      <c r="F42" s="77"/>
      <c r="G42" s="77"/>
      <c r="H42" s="77"/>
      <c r="I42" s="81"/>
      <c r="J42" s="81"/>
      <c r="K42" s="77"/>
      <c r="L42" s="79"/>
      <c r="M42" s="79"/>
      <c r="N42" s="79"/>
      <c r="O42" s="79"/>
      <c r="P42" s="79"/>
      <c r="Q42" s="79"/>
    </row>
    <row r="43" spans="1:17" ht="15.75" x14ac:dyDescent="0.25">
      <c r="A43" s="62"/>
      <c r="B43" s="77"/>
      <c r="C43" s="77"/>
      <c r="D43" s="77"/>
      <c r="E43" s="77"/>
      <c r="F43" s="77"/>
      <c r="G43" s="77"/>
      <c r="H43" s="77"/>
      <c r="I43" s="81"/>
      <c r="J43" s="81"/>
      <c r="K43" s="77"/>
      <c r="L43" s="79"/>
      <c r="M43" s="79"/>
      <c r="N43" s="79"/>
      <c r="O43" s="79"/>
      <c r="P43" s="79"/>
      <c r="Q43" s="79"/>
    </row>
    <row r="44" spans="1:17" ht="15.75" x14ac:dyDescent="0.25">
      <c r="A44" s="62"/>
      <c r="B44" s="62"/>
      <c r="C44" s="62"/>
      <c r="D44" s="62"/>
      <c r="E44" s="62"/>
      <c r="F44" s="62"/>
      <c r="G44" s="62"/>
      <c r="H44" s="62"/>
      <c r="I44" s="68"/>
      <c r="J44" s="68"/>
      <c r="K44" s="62"/>
    </row>
    <row r="45" spans="1:17" ht="15.75" x14ac:dyDescent="0.25">
      <c r="A45" s="62"/>
      <c r="B45" s="62"/>
      <c r="C45" s="62"/>
      <c r="D45" s="62"/>
      <c r="E45" s="62"/>
      <c r="F45" s="62"/>
      <c r="G45" s="62"/>
      <c r="H45" s="62"/>
      <c r="I45" s="67"/>
      <c r="J45" s="68"/>
      <c r="K45" s="62"/>
    </row>
    <row r="46" spans="1:17" ht="15.75" x14ac:dyDescent="0.25">
      <c r="A46" s="62"/>
      <c r="B46" s="62"/>
      <c r="C46" s="62"/>
      <c r="D46" s="62"/>
      <c r="E46" s="62"/>
      <c r="F46" s="62"/>
      <c r="G46" s="62"/>
      <c r="H46" s="62"/>
      <c r="I46" s="69"/>
      <c r="J46" s="69"/>
      <c r="K46" s="62"/>
    </row>
    <row r="47" spans="1:17" ht="15.75" x14ac:dyDescent="0.25">
      <c r="A47" s="62"/>
      <c r="B47" s="62"/>
      <c r="C47" s="62"/>
      <c r="D47" s="62"/>
      <c r="E47" s="62"/>
      <c r="F47" s="62"/>
      <c r="G47" s="62"/>
      <c r="H47" s="62"/>
      <c r="I47" s="69"/>
      <c r="J47" s="69"/>
      <c r="K47" s="62"/>
    </row>
    <row r="48" spans="1:17" ht="15.75" x14ac:dyDescent="0.25">
      <c r="A48" s="62"/>
      <c r="B48" s="62"/>
      <c r="C48" s="62"/>
      <c r="D48" s="62"/>
      <c r="E48" s="62"/>
      <c r="F48" s="62"/>
      <c r="G48" s="62"/>
      <c r="H48" s="62"/>
      <c r="I48" s="69"/>
      <c r="J48" s="69"/>
      <c r="K48" s="62"/>
    </row>
    <row r="49" spans="2:11" ht="15.75" x14ac:dyDescent="0.25">
      <c r="B49" s="62"/>
      <c r="C49" s="62"/>
      <c r="D49" s="62"/>
      <c r="E49" s="62"/>
      <c r="F49" s="62"/>
      <c r="G49" s="62"/>
      <c r="H49" s="62"/>
      <c r="I49" s="70"/>
      <c r="J49" s="70"/>
    </row>
    <row r="50" spans="2:11" ht="15.75" x14ac:dyDescent="0.25">
      <c r="I50" s="67"/>
      <c r="J50" s="70"/>
    </row>
    <row r="51" spans="2:11" ht="15.75" x14ac:dyDescent="0.25">
      <c r="I51" s="68"/>
      <c r="J51" s="68"/>
      <c r="K51" s="62"/>
    </row>
    <row r="52" spans="2:11" x14ac:dyDescent="0.2">
      <c r="I52" s="70"/>
      <c r="J52" s="70"/>
    </row>
    <row r="53" spans="2:11" x14ac:dyDescent="0.2">
      <c r="I53" s="70"/>
      <c r="J53" s="70"/>
    </row>
    <row r="54" spans="2:11" x14ac:dyDescent="0.2">
      <c r="I54" s="70"/>
      <c r="J54" s="70"/>
    </row>
    <row r="55" spans="2:11" x14ac:dyDescent="0.2">
      <c r="I55" s="70"/>
      <c r="J55" s="70"/>
    </row>
    <row r="56" spans="2:11" x14ac:dyDescent="0.2">
      <c r="I56" s="70"/>
      <c r="J56" s="70"/>
    </row>
    <row r="57" spans="2:11" x14ac:dyDescent="0.2">
      <c r="I57" s="70"/>
      <c r="J57" s="70"/>
    </row>
    <row r="58" spans="2:11" x14ac:dyDescent="0.2">
      <c r="I58" s="70"/>
      <c r="J58" s="70"/>
    </row>
    <row r="59" spans="2:11" x14ac:dyDescent="0.2">
      <c r="I59" s="70"/>
      <c r="J59" s="70"/>
    </row>
    <row r="60" spans="2:11" x14ac:dyDescent="0.2">
      <c r="I60" s="70"/>
      <c r="J60" s="70"/>
    </row>
    <row r="61" spans="2:11" x14ac:dyDescent="0.2">
      <c r="I61" s="70"/>
      <c r="J61" s="70"/>
    </row>
    <row r="62" spans="2:11" x14ac:dyDescent="0.2">
      <c r="I62" s="70"/>
      <c r="J62" s="70"/>
    </row>
    <row r="63" spans="2:11" x14ac:dyDescent="0.2">
      <c r="I63" s="70"/>
      <c r="J63" s="70"/>
    </row>
    <row r="64" spans="2:11" x14ac:dyDescent="0.2">
      <c r="I64" s="70"/>
      <c r="J64" s="70"/>
    </row>
    <row r="65" spans="9:10" x14ac:dyDescent="0.2">
      <c r="I65" s="70"/>
      <c r="J65" s="70"/>
    </row>
    <row r="66" spans="9:10" x14ac:dyDescent="0.2">
      <c r="I66" s="70"/>
      <c r="J66" s="70"/>
    </row>
    <row r="67" spans="9:10" x14ac:dyDescent="0.2">
      <c r="I67" s="70"/>
      <c r="J67" s="70"/>
    </row>
    <row r="68" spans="9:10" x14ac:dyDescent="0.2">
      <c r="I68" s="70"/>
      <c r="J68" s="70"/>
    </row>
    <row r="69" spans="9:10" x14ac:dyDescent="0.2">
      <c r="I69" s="70"/>
      <c r="J69" s="70"/>
    </row>
    <row r="70" spans="9:10" x14ac:dyDescent="0.2">
      <c r="I70" s="70"/>
      <c r="J70" s="70"/>
    </row>
    <row r="71" spans="9:10" x14ac:dyDescent="0.2">
      <c r="I71" s="70"/>
      <c r="J71" s="70"/>
    </row>
    <row r="72" spans="9:10" x14ac:dyDescent="0.2">
      <c r="I72" s="70"/>
      <c r="J72" s="70"/>
    </row>
    <row r="73" spans="9:10" x14ac:dyDescent="0.2">
      <c r="I73" s="70"/>
      <c r="J73" s="70"/>
    </row>
    <row r="74" spans="9:10" x14ac:dyDescent="0.2">
      <c r="I74" s="70"/>
      <c r="J74" s="70"/>
    </row>
    <row r="75" spans="9:10" x14ac:dyDescent="0.2">
      <c r="I75" s="70"/>
      <c r="J75" s="70"/>
    </row>
    <row r="76" spans="9:10" x14ac:dyDescent="0.2">
      <c r="I76" s="70"/>
      <c r="J76" s="70"/>
    </row>
    <row r="77" spans="9:10" x14ac:dyDescent="0.2">
      <c r="I77" s="70"/>
      <c r="J77" s="70"/>
    </row>
    <row r="78" spans="9:10" x14ac:dyDescent="0.2">
      <c r="I78" s="70"/>
      <c r="J78" s="70"/>
    </row>
    <row r="79" spans="9:10" x14ac:dyDescent="0.2">
      <c r="I79" s="70"/>
      <c r="J79" s="70"/>
    </row>
    <row r="80" spans="9:10" x14ac:dyDescent="0.2">
      <c r="I80" s="70"/>
      <c r="J80" s="70"/>
    </row>
    <row r="81" spans="9:10" x14ac:dyDescent="0.2">
      <c r="I81" s="70"/>
      <c r="J81" s="70"/>
    </row>
    <row r="82" spans="9:10" x14ac:dyDescent="0.2">
      <c r="I82" s="70"/>
      <c r="J82" s="70"/>
    </row>
    <row r="83" spans="9:10" x14ac:dyDescent="0.2">
      <c r="I83" s="70"/>
      <c r="J83" s="70"/>
    </row>
    <row r="84" spans="9:10" x14ac:dyDescent="0.2">
      <c r="I84" s="70"/>
      <c r="J84" s="70"/>
    </row>
    <row r="85" spans="9:10" x14ac:dyDescent="0.2">
      <c r="I85" s="70"/>
      <c r="J85" s="70"/>
    </row>
    <row r="86" spans="9:10" x14ac:dyDescent="0.2">
      <c r="I86" s="70"/>
      <c r="J86" s="70"/>
    </row>
    <row r="87" spans="9:10" x14ac:dyDescent="0.2">
      <c r="I87" s="70"/>
      <c r="J87" s="70"/>
    </row>
    <row r="88" spans="9:10" x14ac:dyDescent="0.2">
      <c r="I88" s="70"/>
      <c r="J88" s="70"/>
    </row>
    <row r="89" spans="9:10" x14ac:dyDescent="0.2">
      <c r="I89" s="70"/>
      <c r="J89" s="70"/>
    </row>
    <row r="90" spans="9:10" x14ac:dyDescent="0.2">
      <c r="I90" s="70"/>
      <c r="J90" s="70"/>
    </row>
    <row r="91" spans="9:10" x14ac:dyDescent="0.2">
      <c r="I91" s="70"/>
      <c r="J91" s="70"/>
    </row>
    <row r="92" spans="9:10" x14ac:dyDescent="0.2">
      <c r="I92" s="70"/>
      <c r="J92" s="70"/>
    </row>
    <row r="93" spans="9:10" x14ac:dyDescent="0.2">
      <c r="I93" s="70"/>
      <c r="J93" s="70"/>
    </row>
    <row r="94" spans="9:10" x14ac:dyDescent="0.2">
      <c r="I94" s="70"/>
      <c r="J94" s="70"/>
    </row>
    <row r="95" spans="9:10" x14ac:dyDescent="0.2">
      <c r="I95" s="70"/>
      <c r="J95" s="70"/>
    </row>
    <row r="96" spans="9:10" x14ac:dyDescent="0.2">
      <c r="I96" s="70"/>
      <c r="J96" s="70"/>
    </row>
    <row r="97" spans="9:10" x14ac:dyDescent="0.2">
      <c r="I97" s="70"/>
      <c r="J97" s="70"/>
    </row>
    <row r="98" spans="9:10" x14ac:dyDescent="0.2">
      <c r="I98" s="70"/>
      <c r="J98" s="70"/>
    </row>
    <row r="99" spans="9:10" x14ac:dyDescent="0.2">
      <c r="I99" s="70"/>
      <c r="J99" s="70"/>
    </row>
    <row r="100" spans="9:10" x14ac:dyDescent="0.2">
      <c r="I100" s="70"/>
      <c r="J100" s="70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selection activeCell="C24" sqref="C24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165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166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167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168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169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170</v>
      </c>
      <c r="B7" s="1" t="s">
        <v>4</v>
      </c>
      <c r="C7" s="1" t="s">
        <v>298</v>
      </c>
      <c r="D7" s="5" t="s">
        <v>299</v>
      </c>
      <c r="E7" s="6"/>
    </row>
  </sheetData>
  <pageMargins left="0.7" right="0.7" top="0.75" bottom="0.75" header="0.3" footer="0.3"/>
  <ignoredErrors>
    <ignoredError sqref="A2 A3:A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300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307</v>
      </c>
      <c r="B6" s="8" t="s">
        <v>308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309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310</v>
      </c>
      <c r="C15" s="20" t="s">
        <v>311</v>
      </c>
      <c r="D15" s="9" t="s">
        <v>302</v>
      </c>
      <c r="E15" s="10" t="s">
        <v>305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312</v>
      </c>
      <c r="C16" s="33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313</v>
      </c>
      <c r="C17" s="34" t="s">
        <v>314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315</v>
      </c>
      <c r="C18" s="35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316</v>
      </c>
      <c r="C19" s="36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310</v>
      </c>
      <c r="C22" s="20" t="s">
        <v>311</v>
      </c>
      <c r="D22" s="9" t="s">
        <v>303</v>
      </c>
      <c r="E22" s="10" t="s">
        <v>305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312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313</v>
      </c>
      <c r="C24" s="37" t="s">
        <v>314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315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316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317</v>
      </c>
      <c r="C30" s="30">
        <f>I12</f>
        <v>10</v>
      </c>
      <c r="D30" s="30">
        <f>H12</f>
        <v>8.3298969072164954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B24" activeCellId="1" sqref="B17 B24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5135</v>
      </c>
      <c r="B1" s="8"/>
    </row>
    <row r="2" spans="1:7" ht="15" x14ac:dyDescent="0.25">
      <c r="A2" s="8" t="str">
        <f>TEXT(A1,"0.000")</f>
        <v>5.135</v>
      </c>
      <c r="B2" s="8" t="str">
        <f>VLOOKUP(A$2, Eixo5[], 3, FALSE)</f>
        <v>Você utilizou as unidades e/ou serviços do Setor de Ciências Exatas em 2021?</v>
      </c>
    </row>
    <row r="3" spans="1:7" ht="15" x14ac:dyDescent="0.25">
      <c r="A3" s="8" t="s">
        <v>300</v>
      </c>
      <c r="B3" s="8" t="str">
        <f>VLOOKUP(A$2, Eixo5[], 4, FALSE)</f>
        <v>Eixo 5: questão 135</v>
      </c>
    </row>
    <row r="5" spans="1:7" ht="15" x14ac:dyDescent="0.25">
      <c r="B5" s="9" t="s">
        <v>301</v>
      </c>
      <c r="C5" s="9" t="s">
        <v>318</v>
      </c>
      <c r="D5" s="9" t="s">
        <v>303</v>
      </c>
      <c r="E5" s="9" t="s">
        <v>304</v>
      </c>
      <c r="F5" s="10" t="s">
        <v>305</v>
      </c>
      <c r="G5" s="9" t="s">
        <v>306</v>
      </c>
    </row>
    <row r="6" spans="1:7" ht="15" x14ac:dyDescent="0.25">
      <c r="B6" s="8" t="s">
        <v>319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COUNTIFS(Resp5[Vínculo],"tecnico",Resp5[5.135],B7)</f>
        <v>48</v>
      </c>
      <c r="D7" s="11">
        <f>COUNTIFS(Resp5[Vínculo],"docente",Resp5[5.135],B7)</f>
        <v>35</v>
      </c>
      <c r="E7" s="8">
        <f>COUNTIF(Resp5[5.135],B7)</f>
        <v>83</v>
      </c>
      <c r="F7" s="11">
        <f t="shared" ref="F7:F8" si="0">ROUND($E7/E$9*100,2)</f>
        <v>5.9</v>
      </c>
      <c r="G7" s="11">
        <f>ROUND($E7/SUM($E$7:$E$8)*100,2)</f>
        <v>5.9</v>
      </c>
    </row>
    <row r="8" spans="1:7" ht="15" x14ac:dyDescent="0.25">
      <c r="B8" s="8" t="s">
        <v>235</v>
      </c>
      <c r="C8" s="11">
        <f>COUNTIFS(Resp5[Vínculo],"tecnico",Resp5[5.135],B8)</f>
        <v>785</v>
      </c>
      <c r="D8" s="11">
        <f>COUNTIFS(Resp5[Vínculo],"docente",Resp5[5.135],B8)</f>
        <v>539</v>
      </c>
      <c r="E8" s="8">
        <f>COUNTIF(Resp5[5.135],B8)</f>
        <v>1324</v>
      </c>
      <c r="F8" s="40">
        <f t="shared" si="0"/>
        <v>94.1</v>
      </c>
      <c r="G8" s="11">
        <f>ROUND($E8/SUM($E$7:$E$8)*100,2)</f>
        <v>94.1</v>
      </c>
    </row>
    <row r="9" spans="1:7" ht="15" x14ac:dyDescent="0.25">
      <c r="B9" s="12" t="s">
        <v>309</v>
      </c>
      <c r="C9" s="12">
        <f>SUM(C6:C8)</f>
        <v>833</v>
      </c>
      <c r="D9" s="12">
        <f>SUM(D6:D8)</f>
        <v>574</v>
      </c>
      <c r="E9" s="12">
        <f>SUM(C9:D9)</f>
        <v>1407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5136</v>
      </c>
      <c r="B1" s="8"/>
      <c r="C1" s="8"/>
    </row>
    <row r="2" spans="1:13" ht="15" x14ac:dyDescent="0.25">
      <c r="A2" s="8" t="str">
        <f>TEXT(A1,"0.000")</f>
        <v>5.136</v>
      </c>
      <c r="B2" s="8" t="str">
        <f>VLOOKUP(A$2, Eixo5[], 3, FALSE)</f>
        <v>Avalie os serviços prestados pelas unidades do Setor de Ciências Exatas que você utilizou em 2021: [Direção: Secretaria, Administrativo, Financeiro, Almoxarifado]</v>
      </c>
    </row>
    <row r="3" spans="1:13" ht="15" x14ac:dyDescent="0.25">
      <c r="A3" s="8" t="s">
        <v>300</v>
      </c>
      <c r="B3" s="8" t="str">
        <f>VLOOKUP(A$2, Eixo5[], 4, FALSE)</f>
        <v>Eixo 5: questão 136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797</v>
      </c>
      <c r="D6" s="8">
        <f>COUNTIF(Resp5[],"docente")-SUM(D$7:D$11)</f>
        <v>545</v>
      </c>
      <c r="E6" s="11">
        <f>E12-SUM(E7:E11)</f>
        <v>1342</v>
      </c>
      <c r="F6" s="13">
        <f>ROUND($E6/E$12*100,2)</f>
        <v>95.38</v>
      </c>
      <c r="G6" s="13"/>
      <c r="J6" s="28"/>
    </row>
    <row r="7" spans="1:13" ht="15" x14ac:dyDescent="0.25">
      <c r="B7" s="8" t="s">
        <v>244</v>
      </c>
      <c r="C7" s="11">
        <f>COUNTIFS(Resp5[Vínculo],"tecnico",Resp5[5.136],B7)</f>
        <v>26</v>
      </c>
      <c r="D7" s="11">
        <f>COUNTIFS(Resp5[Vínculo],"docente",Resp5[5.136],B7)</f>
        <v>10</v>
      </c>
      <c r="E7" s="11">
        <f>COUNTIF(Resp5[5.136],B7)</f>
        <v>36</v>
      </c>
      <c r="F7" s="13">
        <f t="shared" ref="F7:F11" si="0">ROUND($E7/E$12*100,2)</f>
        <v>2.56</v>
      </c>
      <c r="G7" s="13">
        <f>ROUND($E7/SUM($E$7:$E$11)*100,3)</f>
        <v>55.384999999999998</v>
      </c>
      <c r="H7">
        <f>E7*10</f>
        <v>360</v>
      </c>
      <c r="J7" s="13">
        <f>E11/SUM(E7:E11)</f>
        <v>1.5384615384615385E-2</v>
      </c>
      <c r="M7" s="16"/>
    </row>
    <row r="8" spans="1:13" ht="15" x14ac:dyDescent="0.25">
      <c r="B8" s="8" t="s">
        <v>239</v>
      </c>
      <c r="C8" s="11">
        <f>COUNTIFS(Resp5[Vínculo],"tecnico",Resp5[5.136],B8)</f>
        <v>9</v>
      </c>
      <c r="D8" s="11">
        <f>COUNTIFS(Resp5[Vínculo],"docente",Resp5[5.136],B8)</f>
        <v>16</v>
      </c>
      <c r="E8" s="11">
        <f>COUNTIF(Resp5[5.136],B8)</f>
        <v>25</v>
      </c>
      <c r="F8" s="13">
        <f t="shared" si="0"/>
        <v>1.78</v>
      </c>
      <c r="G8" s="13">
        <f>ROUND($E8/SUM($E$7:$E$11)*100,3)</f>
        <v>38.462000000000003</v>
      </c>
      <c r="H8">
        <f>E8*8</f>
        <v>200</v>
      </c>
      <c r="J8" s="13">
        <f>(E11+E10)/SUM(E7:E11)</f>
        <v>3.0769230769230771E-2</v>
      </c>
      <c r="M8" s="16"/>
    </row>
    <row r="9" spans="1:13" ht="15" x14ac:dyDescent="0.25">
      <c r="B9" s="8" t="s">
        <v>237</v>
      </c>
      <c r="C9" s="11">
        <f>COUNTIFS(Resp5[Vínculo],"tecnico",Resp5[5.136],B9)</f>
        <v>0</v>
      </c>
      <c r="D9" s="11">
        <f>COUNTIFS(Resp5[Vínculo],"docente",Resp5[5.136],B9)</f>
        <v>2</v>
      </c>
      <c r="E9" s="11">
        <f>COUNTIF(Resp5[5.136],B9)</f>
        <v>2</v>
      </c>
      <c r="F9" s="13">
        <f t="shared" si="0"/>
        <v>0.14000000000000001</v>
      </c>
      <c r="G9" s="13">
        <f>ROUND($E9/SUM($E$7:$E$11)*100,3)</f>
        <v>3.077</v>
      </c>
      <c r="H9">
        <f>E9*6</f>
        <v>12</v>
      </c>
      <c r="J9" s="13">
        <f>(E11+E10+E9)/SUM(E7:E11)</f>
        <v>6.1538461538461542E-2</v>
      </c>
      <c r="M9" s="16"/>
    </row>
    <row r="10" spans="1:13" ht="15" x14ac:dyDescent="0.25">
      <c r="B10" s="8" t="s">
        <v>242</v>
      </c>
      <c r="C10" s="11">
        <f>COUNTIFS(Resp5[Vínculo],"tecnico",Resp5[5.136],B10)</f>
        <v>0</v>
      </c>
      <c r="D10" s="11">
        <f>COUNTIFS(Resp5[Vínculo],"docente",Resp5[5.136],B10)</f>
        <v>1</v>
      </c>
      <c r="E10" s="11">
        <f>COUNTIF(Resp5[5.136],B10)</f>
        <v>1</v>
      </c>
      <c r="F10" s="13">
        <f t="shared" si="0"/>
        <v>7.0000000000000007E-2</v>
      </c>
      <c r="G10" s="13">
        <f>ROUND($E10/SUM($E$7:$E$11)*100,3)</f>
        <v>1.538</v>
      </c>
      <c r="H10">
        <f>E10*4</f>
        <v>4</v>
      </c>
      <c r="J10" s="13">
        <f>(E11+E10+E9+E8)/SUM(E7:E11)</f>
        <v>0.44615384615384618</v>
      </c>
      <c r="M10" s="16"/>
    </row>
    <row r="11" spans="1:13" ht="15" x14ac:dyDescent="0.25">
      <c r="B11" s="15" t="s">
        <v>241</v>
      </c>
      <c r="C11" s="11">
        <f>COUNTIFS(Resp5[Vínculo],"tecnico",Resp5[5.136],B11)</f>
        <v>1</v>
      </c>
      <c r="D11" s="11">
        <f>COUNTIFS(Resp5[Vínculo],"docente",Resp5[5.136],B11)</f>
        <v>0</v>
      </c>
      <c r="E11" s="11">
        <f>COUNTIF(Resp5[5.136],B11)</f>
        <v>1</v>
      </c>
      <c r="F11" s="39">
        <f t="shared" si="0"/>
        <v>7.0000000000000007E-2</v>
      </c>
      <c r="G11" s="13">
        <f>ROUND($E11/SUM($E$7:$E$11)*100,3)</f>
        <v>1.538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8.8923076923076927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1</v>
      </c>
      <c r="E16" s="18">
        <f>ROUND(D16/SUM(D$16:D$18)*100,3)</f>
        <v>2.778</v>
      </c>
    </row>
    <row r="17" spans="2:5" ht="15" x14ac:dyDescent="0.25">
      <c r="B17" s="35" t="s">
        <v>315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316</v>
      </c>
      <c r="C18" s="38" t="s">
        <v>26</v>
      </c>
      <c r="D18" s="25">
        <f>SUM(C7:C8)</f>
        <v>35</v>
      </c>
      <c r="E18" s="26">
        <f>ROUND(D18/SUM(D$16:D$18)*100,3)</f>
        <v>97.221999999999994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1</v>
      </c>
      <c r="E22" s="18">
        <f>ROUND(D22/SUM(D$22:D$24)*100,3)</f>
        <v>3.448</v>
      </c>
    </row>
    <row r="23" spans="2:5" ht="15" x14ac:dyDescent="0.25">
      <c r="B23" s="35" t="s">
        <v>315</v>
      </c>
      <c r="C23" s="35" t="s">
        <v>24</v>
      </c>
      <c r="D23" s="17">
        <f>D9</f>
        <v>2</v>
      </c>
      <c r="E23" s="18">
        <f>ROUND(D23/SUM(D$22:D$24)*100,3)</f>
        <v>6.8970000000000002</v>
      </c>
    </row>
    <row r="24" spans="2:5" ht="15" x14ac:dyDescent="0.25">
      <c r="B24" s="38" t="s">
        <v>316</v>
      </c>
      <c r="C24" s="38" t="s">
        <v>26</v>
      </c>
      <c r="D24" s="25">
        <f>SUM(D7:D8)</f>
        <v>26</v>
      </c>
      <c r="E24" s="26">
        <f>ROUND(D24/SUM(D$22:D$24)*100,3)</f>
        <v>89.655000000000001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8.8923076923076927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5137</v>
      </c>
      <c r="B1" s="8"/>
      <c r="C1" s="8"/>
    </row>
    <row r="2" spans="1:13" ht="15" x14ac:dyDescent="0.25">
      <c r="A2" s="8" t="str">
        <f>TEXT(A1,"0.000")</f>
        <v>5.137</v>
      </c>
      <c r="B2" s="8" t="str">
        <f>VLOOKUP(A$2, Eixo5[], 3, FALSE)</f>
        <v>Avalie os serviços prestados pelas unidades do Setor de Ciências Exatas que você utilizou em 2021: [Secretarias das Coordenações de Cursos de Graduação]</v>
      </c>
    </row>
    <row r="3" spans="1:13" ht="15" x14ac:dyDescent="0.25">
      <c r="A3" s="8" t="s">
        <v>300</v>
      </c>
      <c r="B3" s="8" t="str">
        <f>VLOOKUP(A$2, Eixo5[], 4, FALSE)</f>
        <v>Eixo 5: questão 137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804</v>
      </c>
      <c r="D6" s="8">
        <f>COUNTIF(Resp5[],"docente")-SUM(D$7:D$11)</f>
        <v>547</v>
      </c>
      <c r="E6" s="11">
        <f>E12-SUM(E7:E11)</f>
        <v>1351</v>
      </c>
      <c r="F6" s="13">
        <f>ROUND($E6/E$12*100,2)</f>
        <v>96.02</v>
      </c>
      <c r="G6" s="13"/>
      <c r="J6" s="28"/>
    </row>
    <row r="7" spans="1:13" ht="15" x14ac:dyDescent="0.25">
      <c r="B7" s="8" t="s">
        <v>244</v>
      </c>
      <c r="C7" s="11">
        <f>COUNTIFS(Resp5[Vínculo],"tecnico",Resp5[5.137],B7)</f>
        <v>19</v>
      </c>
      <c r="D7" s="11">
        <f>COUNTIFS(Resp5[Vínculo],"docente",Resp5[5.137],B7)</f>
        <v>13</v>
      </c>
      <c r="E7" s="11">
        <f>COUNTIF(Resp5[5.137],B7)</f>
        <v>32</v>
      </c>
      <c r="F7" s="13">
        <f t="shared" ref="F7:F11" si="0">ROUND($E7/E$12*100,2)</f>
        <v>2.27</v>
      </c>
      <c r="G7" s="13">
        <f>ROUND($E7/SUM($E$7:$E$11)*100,3)</f>
        <v>57.143000000000001</v>
      </c>
      <c r="H7">
        <f>E7*10</f>
        <v>320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COUNTIFS(Resp5[Vínculo],"tecnico",Resp5[5.137],B8)</f>
        <v>10</v>
      </c>
      <c r="D8" s="11">
        <f>COUNTIFS(Resp5[Vínculo],"docente",Resp5[5.137],B8)</f>
        <v>10</v>
      </c>
      <c r="E8" s="11">
        <f>COUNTIF(Resp5[5.137],B8)</f>
        <v>20</v>
      </c>
      <c r="F8" s="13">
        <f t="shared" si="0"/>
        <v>1.42</v>
      </c>
      <c r="G8" s="13">
        <f>ROUND($E8/SUM($E$7:$E$11)*100,3)</f>
        <v>35.713999999999999</v>
      </c>
      <c r="H8">
        <f>E8*8</f>
        <v>160</v>
      </c>
      <c r="J8" s="13">
        <f>(E11+E10)/SUM(E7:E11)</f>
        <v>1.7857142857142856E-2</v>
      </c>
      <c r="M8" s="16"/>
    </row>
    <row r="9" spans="1:13" ht="15" x14ac:dyDescent="0.25">
      <c r="B9" s="8" t="s">
        <v>237</v>
      </c>
      <c r="C9" s="11">
        <f>COUNTIFS(Resp5[Vínculo],"tecnico",Resp5[5.137],B9)</f>
        <v>0</v>
      </c>
      <c r="D9" s="11">
        <f>COUNTIFS(Resp5[Vínculo],"docente",Resp5[5.137],B9)</f>
        <v>3</v>
      </c>
      <c r="E9" s="11">
        <f>COUNTIF(Resp5[5.137],B9)</f>
        <v>3</v>
      </c>
      <c r="F9" s="13">
        <f t="shared" si="0"/>
        <v>0.21</v>
      </c>
      <c r="G9" s="13">
        <f>ROUND($E9/SUM($E$7:$E$11)*100,3)</f>
        <v>5.3570000000000002</v>
      </c>
      <c r="H9">
        <f>E9*6</f>
        <v>18</v>
      </c>
      <c r="J9" s="13">
        <f>(E11+E10+E9)/SUM(E7:E11)</f>
        <v>7.1428571428571425E-2</v>
      </c>
      <c r="M9" s="16"/>
    </row>
    <row r="10" spans="1:13" ht="15" x14ac:dyDescent="0.25">
      <c r="B10" s="8" t="s">
        <v>242</v>
      </c>
      <c r="C10" s="11">
        <f>COUNTIFS(Resp5[Vínculo],"tecnico",Resp5[5.137],B10)</f>
        <v>0</v>
      </c>
      <c r="D10" s="11">
        <f>COUNTIFS(Resp5[Vínculo],"docente",Resp5[5.137],B10)</f>
        <v>1</v>
      </c>
      <c r="E10" s="11">
        <f>COUNTIF(Resp5[5.137],B10)</f>
        <v>1</v>
      </c>
      <c r="F10" s="13">
        <f t="shared" si="0"/>
        <v>7.0000000000000007E-2</v>
      </c>
      <c r="G10" s="13">
        <f>ROUND($E10/SUM($E$7:$E$11)*100,3)</f>
        <v>1.786</v>
      </c>
      <c r="H10">
        <f>E10*4</f>
        <v>4</v>
      </c>
      <c r="J10" s="13">
        <f>(E11+E10+E9+E8)/SUM(E7:E11)</f>
        <v>0.42857142857142855</v>
      </c>
      <c r="M10" s="16"/>
    </row>
    <row r="11" spans="1:13" ht="15" x14ac:dyDescent="0.25">
      <c r="B11" s="15" t="s">
        <v>241</v>
      </c>
      <c r="C11" s="11">
        <f>COUNTIFS(Resp5[Vínculo],"tecnico",Resp5[5.137],B11)</f>
        <v>0</v>
      </c>
      <c r="D11" s="11">
        <f>COUNTIFS(Resp5[Vínculo],"docente",Resp5[5.137],B11)</f>
        <v>0</v>
      </c>
      <c r="E11" s="11">
        <f>COUNTIF(Resp5[5.137],B11)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8.9642857142857135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316</v>
      </c>
      <c r="C18" s="38" t="s">
        <v>26</v>
      </c>
      <c r="D18" s="25">
        <f>SUM(C7:C8)</f>
        <v>29</v>
      </c>
      <c r="E18" s="26">
        <f>ROUND(D18/SUM(D$16:D$18)*100,3)</f>
        <v>100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1</v>
      </c>
      <c r="E22" s="18">
        <f>ROUND(D22/SUM(D$22:D$24)*100,3)</f>
        <v>3.7040000000000002</v>
      </c>
    </row>
    <row r="23" spans="2:5" ht="15" x14ac:dyDescent="0.25">
      <c r="B23" s="35" t="s">
        <v>315</v>
      </c>
      <c r="C23" s="35" t="s">
        <v>24</v>
      </c>
      <c r="D23" s="17">
        <f>D9</f>
        <v>3</v>
      </c>
      <c r="E23" s="18">
        <f>ROUND(D23/SUM(D$22:D$24)*100,3)</f>
        <v>11.111000000000001</v>
      </c>
    </row>
    <row r="24" spans="2:5" ht="15" x14ac:dyDescent="0.25">
      <c r="B24" s="38" t="s">
        <v>316</v>
      </c>
      <c r="C24" s="38" t="s">
        <v>26</v>
      </c>
      <c r="D24" s="25">
        <f>SUM(D7:D8)</f>
        <v>23</v>
      </c>
      <c r="E24" s="26">
        <f>ROUND(D24/SUM(D$22:D$24)*100,3)</f>
        <v>85.185000000000002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8.9642857142857135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5138</v>
      </c>
      <c r="B1" s="8"/>
      <c r="C1" s="8"/>
    </row>
    <row r="2" spans="1:13" ht="15" x14ac:dyDescent="0.25">
      <c r="A2" s="8" t="str">
        <f>TEXT(A1,"0.000")</f>
        <v>5.138</v>
      </c>
      <c r="B2" s="8" t="str">
        <f>VLOOKUP(A$2, Eixo5[], 3, FALSE)</f>
        <v>Avalie os serviços prestados pelas unidades do Setor de Ciências Exatas que você utilizou em 2021: [Secretarias de Programas de Pós-Graduação]</v>
      </c>
    </row>
    <row r="3" spans="1:13" ht="15" x14ac:dyDescent="0.25">
      <c r="A3" s="8" t="s">
        <v>300</v>
      </c>
      <c r="B3" s="8" t="str">
        <f>VLOOKUP(A$2, Eixo5[], 4, FALSE)</f>
        <v>Eixo 5: questão 138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813</v>
      </c>
      <c r="D6" s="8">
        <f>COUNTIF(Resp5[],"docente")-SUM(D$7:D$11)</f>
        <v>558</v>
      </c>
      <c r="E6" s="11">
        <f>E12-SUM(E7:E11)</f>
        <v>1371</v>
      </c>
      <c r="F6" s="13">
        <f>ROUND($E6/E$12*100,2)</f>
        <v>97.44</v>
      </c>
      <c r="G6" s="13"/>
      <c r="J6" s="28"/>
    </row>
    <row r="7" spans="1:13" ht="15" x14ac:dyDescent="0.25">
      <c r="B7" s="8" t="s">
        <v>244</v>
      </c>
      <c r="C7" s="11">
        <f>COUNTIFS(Resp5[Vínculo],"tecnico",Resp5[5.138],B7)</f>
        <v>15</v>
      </c>
      <c r="D7" s="11">
        <f>COUNTIFS(Resp5[Vínculo],"docente",Resp5[5.138],B7)</f>
        <v>8</v>
      </c>
      <c r="E7" s="11">
        <f>COUNTIF(Resp5[5.138],B7)</f>
        <v>23</v>
      </c>
      <c r="F7" s="13">
        <f t="shared" ref="F7:F11" si="0">ROUND($E7/E$12*100,2)</f>
        <v>1.63</v>
      </c>
      <c r="G7" s="13">
        <f>ROUND($E7/SUM($E$7:$E$11)*100,3)</f>
        <v>63.889000000000003</v>
      </c>
      <c r="H7">
        <f>E7*10</f>
        <v>230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COUNTIFS(Resp5[Vínculo],"tecnico",Resp5[5.138],B8)</f>
        <v>5</v>
      </c>
      <c r="D8" s="11">
        <f>COUNTIFS(Resp5[Vínculo],"docente",Resp5[5.138],B8)</f>
        <v>6</v>
      </c>
      <c r="E8" s="11">
        <f>COUNTIF(Resp5[5.138],B8)</f>
        <v>11</v>
      </c>
      <c r="F8" s="13">
        <f t="shared" si="0"/>
        <v>0.78</v>
      </c>
      <c r="G8" s="13">
        <f>ROUND($E8/SUM($E$7:$E$11)*100,3)</f>
        <v>30.556000000000001</v>
      </c>
      <c r="H8">
        <f>E8*8</f>
        <v>88</v>
      </c>
      <c r="J8" s="13">
        <f>(E11+E10)/SUM(E7:E11)</f>
        <v>0</v>
      </c>
      <c r="M8" s="16"/>
    </row>
    <row r="9" spans="1:13" ht="15" x14ac:dyDescent="0.25">
      <c r="B9" s="8" t="s">
        <v>237</v>
      </c>
      <c r="C9" s="11">
        <f>COUNTIFS(Resp5[Vínculo],"tecnico",Resp5[5.138],B9)</f>
        <v>0</v>
      </c>
      <c r="D9" s="11">
        <f>COUNTIFS(Resp5[Vínculo],"docente",Resp5[5.138],B9)</f>
        <v>2</v>
      </c>
      <c r="E9" s="11">
        <f>COUNTIF(Resp5[5.138],B9)</f>
        <v>2</v>
      </c>
      <c r="F9" s="13">
        <f t="shared" si="0"/>
        <v>0.14000000000000001</v>
      </c>
      <c r="G9" s="13">
        <f>ROUND($E9/SUM($E$7:$E$11)*100,3)</f>
        <v>5.556</v>
      </c>
      <c r="H9">
        <f>E9*6</f>
        <v>12</v>
      </c>
      <c r="J9" s="13">
        <f>(E11+E10+E9)/SUM(E7:E11)</f>
        <v>5.5555555555555552E-2</v>
      </c>
      <c r="M9" s="16"/>
    </row>
    <row r="10" spans="1:13" ht="15" x14ac:dyDescent="0.25">
      <c r="B10" s="8" t="s">
        <v>242</v>
      </c>
      <c r="C10" s="11">
        <f>COUNTIFS(Resp5[Vínculo],"tecnico",Resp5[5.138],B10)</f>
        <v>0</v>
      </c>
      <c r="D10" s="11">
        <f>COUNTIFS(Resp5[Vínculo],"docente",Resp5[5.138],B10)</f>
        <v>0</v>
      </c>
      <c r="E10" s="11">
        <f>COUNTIF(Resp5[5.138],B10)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0.3611111111111111</v>
      </c>
      <c r="M10" s="16"/>
    </row>
    <row r="11" spans="1:13" ht="15" x14ac:dyDescent="0.25">
      <c r="B11" s="15" t="s">
        <v>241</v>
      </c>
      <c r="C11" s="11">
        <f>COUNTIFS(Resp5[Vínculo],"tecnico",Resp5[5.138],B11)</f>
        <v>0</v>
      </c>
      <c r="D11" s="11">
        <f>COUNTIFS(Resp5[Vínculo],"docente",Resp5[5.138],B11)</f>
        <v>0</v>
      </c>
      <c r="E11" s="11">
        <f>COUNTIF(Resp5[5.138],B11)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100.001</v>
      </c>
      <c r="H12">
        <f>SUM(H7:H11)/SUM(E7:E11)</f>
        <v>9.1666666666666661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316</v>
      </c>
      <c r="C18" s="38" t="s">
        <v>26</v>
      </c>
      <c r="D18" s="25">
        <f>SUM(C7:C8)</f>
        <v>20</v>
      </c>
      <c r="E18" s="26">
        <f>ROUND(D18/SUM(D$16:D$18)*100,3)</f>
        <v>100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2</v>
      </c>
      <c r="E23" s="18">
        <f>ROUND(D23/SUM(D$22:D$24)*100,3)</f>
        <v>12.5</v>
      </c>
    </row>
    <row r="24" spans="2:5" ht="15" x14ac:dyDescent="0.25">
      <c r="B24" s="38" t="s">
        <v>316</v>
      </c>
      <c r="C24" s="38" t="s">
        <v>26</v>
      </c>
      <c r="D24" s="25">
        <f>SUM(D7:D8)</f>
        <v>14</v>
      </c>
      <c r="E24" s="26">
        <f>ROUND(D24/SUM(D$22:D$24)*100,3)</f>
        <v>87.5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9.1666666666666661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5139</v>
      </c>
      <c r="B1" s="8"/>
      <c r="C1" s="8"/>
    </row>
    <row r="2" spans="1:13" ht="15" x14ac:dyDescent="0.25">
      <c r="A2" s="8" t="str">
        <f>TEXT(A1,"0.000")</f>
        <v>5.139</v>
      </c>
      <c r="B2" s="8" t="str">
        <f>VLOOKUP(A$2, Eixo5[], 3, FALSE)</f>
        <v>Avalie os serviços prestados pelas unidades do Setor de Ciências Exatas que você utilizou em 2021: [Secretarias de Departamentos]</v>
      </c>
    </row>
    <row r="3" spans="1:13" ht="15" x14ac:dyDescent="0.25">
      <c r="A3" s="8" t="s">
        <v>300</v>
      </c>
      <c r="B3" s="8" t="str">
        <f>VLOOKUP(A$2, Eixo5[], 4, FALSE)</f>
        <v>Eixo 5: questão 139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798</v>
      </c>
      <c r="D6" s="8">
        <f>COUNTIF(Resp5[],"docente")-SUM(D$7:D$11)</f>
        <v>544</v>
      </c>
      <c r="E6" s="11">
        <f>E12-SUM(E7:E11)</f>
        <v>1342</v>
      </c>
      <c r="F6" s="13">
        <f>ROUND($E6/E$12*100,2)</f>
        <v>95.38</v>
      </c>
      <c r="G6" s="13"/>
      <c r="J6" s="28"/>
    </row>
    <row r="7" spans="1:13" ht="15" x14ac:dyDescent="0.25">
      <c r="B7" s="8" t="s">
        <v>244</v>
      </c>
      <c r="C7" s="11">
        <f>COUNTIFS(Resp5[Vínculo],"tecnico",Resp5[5.139],B7)</f>
        <v>21</v>
      </c>
      <c r="D7" s="11">
        <f>COUNTIFS(Resp5[Vínculo],"docente",Resp5[5.139],B7)</f>
        <v>12</v>
      </c>
      <c r="E7" s="11">
        <f>COUNTIF(Resp5[5.139],B7)</f>
        <v>33</v>
      </c>
      <c r="F7" s="13">
        <f t="shared" ref="F7:F11" si="0">ROUND($E7/E$12*100,2)</f>
        <v>2.35</v>
      </c>
      <c r="G7" s="13">
        <f>ROUND($E7/SUM($E$7:$E$11)*100,3)</f>
        <v>50.768999999999998</v>
      </c>
      <c r="H7">
        <f>E7*10</f>
        <v>330</v>
      </c>
      <c r="J7" s="13">
        <f>E11/SUM(E7:E11)</f>
        <v>1.5384615384615385E-2</v>
      </c>
      <c r="M7" s="16"/>
    </row>
    <row r="8" spans="1:13" ht="15" x14ac:dyDescent="0.25">
      <c r="B8" s="8" t="s">
        <v>239</v>
      </c>
      <c r="C8" s="11">
        <f>COUNTIFS(Resp5[Vínculo],"tecnico",Resp5[5.139],B8)</f>
        <v>12</v>
      </c>
      <c r="D8" s="11">
        <f>COUNTIFS(Resp5[Vínculo],"docente",Resp5[5.139],B8)</f>
        <v>12</v>
      </c>
      <c r="E8" s="11">
        <f>COUNTIF(Resp5[5.139],B8)</f>
        <v>24</v>
      </c>
      <c r="F8" s="13">
        <f t="shared" si="0"/>
        <v>1.71</v>
      </c>
      <c r="G8" s="13">
        <f>ROUND($E8/SUM($E$7:$E$11)*100,3)</f>
        <v>36.923000000000002</v>
      </c>
      <c r="H8">
        <f>E8*8</f>
        <v>192</v>
      </c>
      <c r="J8" s="13">
        <f>(E11+E10)/SUM(E7:E11)</f>
        <v>4.6153846153846156E-2</v>
      </c>
      <c r="M8" s="16"/>
    </row>
    <row r="9" spans="1:13" ht="15" x14ac:dyDescent="0.25">
      <c r="B9" s="8" t="s">
        <v>237</v>
      </c>
      <c r="C9" s="11">
        <f>COUNTIFS(Resp5[Vínculo],"tecnico",Resp5[5.139],B9)</f>
        <v>1</v>
      </c>
      <c r="D9" s="11">
        <f>COUNTIFS(Resp5[Vínculo],"docente",Resp5[5.139],B9)</f>
        <v>4</v>
      </c>
      <c r="E9" s="11">
        <f>COUNTIF(Resp5[5.139],B9)</f>
        <v>5</v>
      </c>
      <c r="F9" s="13">
        <f t="shared" si="0"/>
        <v>0.36</v>
      </c>
      <c r="G9" s="13">
        <f>ROUND($E9/SUM($E$7:$E$11)*100,3)</f>
        <v>7.6920000000000002</v>
      </c>
      <c r="H9">
        <f>E9*6</f>
        <v>30</v>
      </c>
      <c r="J9" s="13">
        <f>(E11+E10+E9)/SUM(E7:E11)</f>
        <v>0.12307692307692308</v>
      </c>
      <c r="M9" s="16"/>
    </row>
    <row r="10" spans="1:13" ht="15" x14ac:dyDescent="0.25">
      <c r="B10" s="8" t="s">
        <v>242</v>
      </c>
      <c r="C10" s="11">
        <f>COUNTIFS(Resp5[Vínculo],"tecnico",Resp5[5.139],B10)</f>
        <v>0</v>
      </c>
      <c r="D10" s="11">
        <f>COUNTIFS(Resp5[Vínculo],"docente",Resp5[5.139],B10)</f>
        <v>2</v>
      </c>
      <c r="E10" s="11">
        <f>COUNTIF(Resp5[5.139],B10)</f>
        <v>2</v>
      </c>
      <c r="F10" s="13">
        <f t="shared" si="0"/>
        <v>0.14000000000000001</v>
      </c>
      <c r="G10" s="13">
        <f>ROUND($E10/SUM($E$7:$E$11)*100,3)</f>
        <v>3.077</v>
      </c>
      <c r="H10">
        <f>E10*4</f>
        <v>8</v>
      </c>
      <c r="J10" s="13">
        <f>(E11+E10+E9+E8)/SUM(E7:E11)</f>
        <v>0.49230769230769234</v>
      </c>
      <c r="M10" s="16"/>
    </row>
    <row r="11" spans="1:13" ht="15" x14ac:dyDescent="0.25">
      <c r="B11" s="15" t="s">
        <v>241</v>
      </c>
      <c r="C11" s="11">
        <f>COUNTIFS(Resp5[Vínculo],"tecnico",Resp5[5.139],B11)</f>
        <v>1</v>
      </c>
      <c r="D11" s="11">
        <f>COUNTIFS(Resp5[Vínculo],"docente",Resp5[5.139],B11)</f>
        <v>0</v>
      </c>
      <c r="E11" s="11">
        <f>COUNTIF(Resp5[5.139],B11)</f>
        <v>1</v>
      </c>
      <c r="F11" s="39">
        <f t="shared" si="0"/>
        <v>7.0000000000000007E-2</v>
      </c>
      <c r="G11" s="13">
        <f>ROUND($E11/SUM($E$7:$E$11)*100,3)</f>
        <v>1.538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99.999000000000009</v>
      </c>
      <c r="H12">
        <f>SUM(H7:H11)/SUM(E7:E11)</f>
        <v>8.6461538461538456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1</v>
      </c>
      <c r="E16" s="18">
        <f>ROUND(D16/SUM(D$16:D$18)*100,3)</f>
        <v>2.8570000000000002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2.8570000000000002</v>
      </c>
    </row>
    <row r="18" spans="2:5" ht="15" x14ac:dyDescent="0.25">
      <c r="B18" s="38" t="s">
        <v>316</v>
      </c>
      <c r="C18" s="38" t="s">
        <v>26</v>
      </c>
      <c r="D18" s="25">
        <f>SUM(C7:C8)</f>
        <v>33</v>
      </c>
      <c r="E18" s="26">
        <f>ROUND(D18/SUM(D$16:D$18)*100,3)</f>
        <v>94.286000000000001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2</v>
      </c>
      <c r="E22" s="18">
        <f>ROUND(D22/SUM(D$22:D$24)*100,3)</f>
        <v>6.6669999999999998</v>
      </c>
    </row>
    <row r="23" spans="2:5" ht="15" x14ac:dyDescent="0.25">
      <c r="B23" s="35" t="s">
        <v>315</v>
      </c>
      <c r="C23" s="35" t="s">
        <v>24</v>
      </c>
      <c r="D23" s="17">
        <f>D9</f>
        <v>4</v>
      </c>
      <c r="E23" s="18">
        <f>ROUND(D23/SUM(D$22:D$24)*100,3)</f>
        <v>13.333</v>
      </c>
    </row>
    <row r="24" spans="2:5" ht="15" x14ac:dyDescent="0.25">
      <c r="B24" s="38" t="s">
        <v>316</v>
      </c>
      <c r="C24" s="38" t="s">
        <v>26</v>
      </c>
      <c r="D24" s="25">
        <f>SUM(D7:D8)</f>
        <v>24</v>
      </c>
      <c r="E24" s="26">
        <f>ROUND(D24/SUM(D$22:D$24)*100,3)</f>
        <v>80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8.6461538461538456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5140</v>
      </c>
      <c r="B1" s="8"/>
      <c r="C1" s="8"/>
    </row>
    <row r="2" spans="1:13" ht="15" x14ac:dyDescent="0.25">
      <c r="A2" s="8" t="str">
        <f>TEXT(A1,"0.000")</f>
        <v>5.140</v>
      </c>
      <c r="B2" s="8" t="str">
        <f>VLOOKUP(A$2, Eixo5[], 3, FALSE)</f>
        <v>Avalie os serviços prestados pelas unidades do Setor de Ciências Exatas que você utilizou em 2021: [Laboratórios, Clínicas, Oficinas, Ateliês e/ou equivalentes]</v>
      </c>
    </row>
    <row r="3" spans="1:13" ht="15" x14ac:dyDescent="0.25">
      <c r="A3" s="8" t="s">
        <v>300</v>
      </c>
      <c r="B3" s="8" t="str">
        <f>VLOOKUP(A$2, Eixo5[], 4, FALSE)</f>
        <v>Eixo 5: questão 140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814</v>
      </c>
      <c r="D6" s="8">
        <f>COUNTIF(Resp5[],"docente")-SUM(D$7:D$11)</f>
        <v>567</v>
      </c>
      <c r="E6" s="11">
        <f>E12-SUM(E7:E11)</f>
        <v>1381</v>
      </c>
      <c r="F6" s="13">
        <f>ROUND($E6/E$12*100,2)</f>
        <v>98.15</v>
      </c>
      <c r="G6" s="13"/>
      <c r="J6" s="28"/>
    </row>
    <row r="7" spans="1:13" ht="15" x14ac:dyDescent="0.25">
      <c r="B7" s="8" t="s">
        <v>244</v>
      </c>
      <c r="C7" s="11">
        <f>COUNTIFS(Resp5[Vínculo],"tecnico",Resp5[5.140],B7)</f>
        <v>16</v>
      </c>
      <c r="D7" s="11">
        <f>COUNTIFS(Resp5[Vínculo],"docente",Resp5[5.140],B7)</f>
        <v>4</v>
      </c>
      <c r="E7" s="11">
        <f>COUNTIF(Resp5[5.140],B7)</f>
        <v>20</v>
      </c>
      <c r="F7" s="13">
        <f t="shared" ref="F7:F11" si="0">ROUND($E7/E$12*100,2)</f>
        <v>1.42</v>
      </c>
      <c r="G7" s="13">
        <f>ROUND($E7/SUM($E$7:$E$11)*100,3)</f>
        <v>76.923000000000002</v>
      </c>
      <c r="H7">
        <f>E7*10</f>
        <v>200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COUNTIFS(Resp5[Vínculo],"tecnico",Resp5[5.140],B8)</f>
        <v>3</v>
      </c>
      <c r="D8" s="11">
        <f>COUNTIFS(Resp5[Vínculo],"docente",Resp5[5.140],B8)</f>
        <v>2</v>
      </c>
      <c r="E8" s="11">
        <f>COUNTIF(Resp5[5.140],B8)</f>
        <v>5</v>
      </c>
      <c r="F8" s="13">
        <f t="shared" si="0"/>
        <v>0.36</v>
      </c>
      <c r="G8" s="13">
        <f>ROUND($E8/SUM($E$7:$E$11)*100,3)</f>
        <v>19.231000000000002</v>
      </c>
      <c r="H8">
        <f>E8*8</f>
        <v>40</v>
      </c>
      <c r="J8" s="13">
        <f>(E11+E10)/SUM(E7:E11)</f>
        <v>0</v>
      </c>
      <c r="M8" s="16"/>
    </row>
    <row r="9" spans="1:13" ht="15" x14ac:dyDescent="0.25">
      <c r="B9" s="8" t="s">
        <v>237</v>
      </c>
      <c r="C9" s="11">
        <f>COUNTIFS(Resp5[Vínculo],"tecnico",Resp5[5.140],B9)</f>
        <v>0</v>
      </c>
      <c r="D9" s="11">
        <f>COUNTIFS(Resp5[Vínculo],"docente",Resp5[5.140],B9)</f>
        <v>1</v>
      </c>
      <c r="E9" s="11">
        <f>COUNTIF(Resp5[5.140],B9)</f>
        <v>1</v>
      </c>
      <c r="F9" s="13">
        <f t="shared" si="0"/>
        <v>7.0000000000000007E-2</v>
      </c>
      <c r="G9" s="13">
        <f>ROUND($E9/SUM($E$7:$E$11)*100,3)</f>
        <v>3.8460000000000001</v>
      </c>
      <c r="H9">
        <f>E9*6</f>
        <v>6</v>
      </c>
      <c r="J9" s="13">
        <f>(E11+E10+E9)/SUM(E7:E11)</f>
        <v>3.8461538461538464E-2</v>
      </c>
      <c r="M9" s="16"/>
    </row>
    <row r="10" spans="1:13" ht="15" x14ac:dyDescent="0.25">
      <c r="B10" s="8" t="s">
        <v>242</v>
      </c>
      <c r="C10" s="11">
        <f>COUNTIFS(Resp5[Vínculo],"tecnico",Resp5[5.140],B10)</f>
        <v>0</v>
      </c>
      <c r="D10" s="11">
        <f>COUNTIFS(Resp5[Vínculo],"docente",Resp5[5.140],B10)</f>
        <v>0</v>
      </c>
      <c r="E10" s="11">
        <f>COUNTIF(Resp5[5.140],B10)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0.23076923076923078</v>
      </c>
      <c r="M10" s="16"/>
    </row>
    <row r="11" spans="1:13" ht="15" x14ac:dyDescent="0.25">
      <c r="B11" s="15" t="s">
        <v>241</v>
      </c>
      <c r="C11" s="11">
        <f>COUNTIFS(Resp5[Vínculo],"tecnico",Resp5[5.140],B11)</f>
        <v>0</v>
      </c>
      <c r="D11" s="11">
        <f>COUNTIFS(Resp5[Vínculo],"docente",Resp5[5.140],B11)</f>
        <v>0</v>
      </c>
      <c r="E11" s="11">
        <f>COUNTIF(Resp5[5.140],B11)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9.4615384615384617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0</v>
      </c>
      <c r="E17" s="18">
        <f>ROUND(D17/SUM(D$16:D$18)*100,3)</f>
        <v>0</v>
      </c>
    </row>
    <row r="18" spans="2:5" ht="15" x14ac:dyDescent="0.25">
      <c r="B18" s="38" t="s">
        <v>316</v>
      </c>
      <c r="C18" s="38" t="s">
        <v>26</v>
      </c>
      <c r="D18" s="25">
        <f>SUM(C7:C8)</f>
        <v>19</v>
      </c>
      <c r="E18" s="26">
        <f>ROUND(D18/SUM(D$16:D$18)*100,3)</f>
        <v>100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0</v>
      </c>
      <c r="E22" s="18">
        <f>ROUND(D22/SUM(D$22:D$24)*100,3)</f>
        <v>0</v>
      </c>
    </row>
    <row r="23" spans="2:5" ht="15" x14ac:dyDescent="0.25">
      <c r="B23" s="35" t="s">
        <v>315</v>
      </c>
      <c r="C23" s="35" t="s">
        <v>24</v>
      </c>
      <c r="D23" s="17">
        <f>D9</f>
        <v>1</v>
      </c>
      <c r="E23" s="18">
        <f>ROUND(D23/SUM(D$22:D$24)*100,3)</f>
        <v>14.286</v>
      </c>
    </row>
    <row r="24" spans="2:5" ht="15" x14ac:dyDescent="0.25">
      <c r="B24" s="38" t="s">
        <v>316</v>
      </c>
      <c r="C24" s="38" t="s">
        <v>26</v>
      </c>
      <c r="D24" s="25">
        <f>SUM(D7:D8)</f>
        <v>6</v>
      </c>
      <c r="E24" s="26">
        <f>ROUND(D24/SUM(D$22:D$24)*100,3)</f>
        <v>85.713999999999999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9.4615384615384617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OrientaçõesInformações</vt:lpstr>
      <vt:lpstr>Eixo 5</vt:lpstr>
      <vt:lpstr>TituloQuestões</vt:lpstr>
      <vt:lpstr>Q2.06</vt:lpstr>
      <vt:lpstr>Q5.135ET</vt:lpstr>
      <vt:lpstr>Q5.136</vt:lpstr>
      <vt:lpstr>Q5.137</vt:lpstr>
      <vt:lpstr>Q5.138</vt:lpstr>
      <vt:lpstr>Q5.139</vt:lpstr>
      <vt:lpstr>Q5.140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2022-01-14T17:32:18Z</dcterms:modified>
  <cp:category/>
  <cp:contentStatus/>
</cp:coreProperties>
</file>