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DIRETORIA DISCIPLINAR/"/>
    </mc:Choice>
  </mc:AlternateContent>
  <xr:revisionPtr revIDLastSave="6" documentId="11_700C3D208451A96ADB7618F43697DAA4473D31B8" xr6:coauthVersionLast="47" xr6:coauthVersionMax="47" xr10:uidLastSave="{353A3A5C-83C5-4DDF-95EB-D1E7612CCA34}"/>
  <bookViews>
    <workbookView xWindow="21765" yWindow="240" windowWidth="24495" windowHeight="14535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16" sheetId="2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E11" i="61" l="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C8" i="22"/>
  <c r="D8" i="22"/>
  <c r="E8" i="22"/>
  <c r="C9" i="22"/>
  <c r="D17" i="22" s="1"/>
  <c r="D9" i="22"/>
  <c r="D23" i="22" s="1"/>
  <c r="E9" i="22"/>
  <c r="C10" i="22"/>
  <c r="D10" i="22"/>
  <c r="E10" i="22"/>
  <c r="C11" i="22"/>
  <c r="D11" i="22"/>
  <c r="E11" i="22"/>
  <c r="E7" i="22"/>
  <c r="D7" i="22"/>
  <c r="D24" i="22" s="1"/>
  <c r="C7" i="22"/>
  <c r="A2" i="22"/>
  <c r="D16" i="22" l="1"/>
  <c r="E6" i="61"/>
  <c r="D23" i="61"/>
  <c r="D6" i="61"/>
  <c r="D24" i="61" s="1"/>
  <c r="D18" i="22"/>
  <c r="D19" i="61"/>
  <c r="C6" i="61"/>
  <c r="C12" i="61" s="1"/>
  <c r="D26" i="61"/>
  <c r="D16" i="61"/>
  <c r="C6" i="22"/>
  <c r="C12" i="22" s="1"/>
  <c r="B3" i="61"/>
  <c r="B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D6" i="22"/>
  <c r="D22" i="22"/>
  <c r="B3" i="22"/>
  <c r="B2" i="22"/>
  <c r="I12" i="22"/>
  <c r="C28" i="22" s="1"/>
  <c r="J8" i="22"/>
  <c r="J7" i="22"/>
  <c r="H7" i="22"/>
  <c r="G7" i="22"/>
  <c r="H8" i="22"/>
  <c r="G8" i="22"/>
  <c r="J9" i="22"/>
  <c r="H9" i="22"/>
  <c r="G9" i="22"/>
  <c r="E16" i="22"/>
  <c r="J10" i="22"/>
  <c r="H10" i="22"/>
  <c r="G10" i="22"/>
  <c r="J11" i="22"/>
  <c r="H11" i="22"/>
  <c r="G11" i="22"/>
  <c r="D17" i="61" l="1"/>
  <c r="E17" i="61" s="1"/>
  <c r="D12" i="61"/>
  <c r="D12" i="22"/>
  <c r="E23" i="22"/>
  <c r="E24" i="22"/>
  <c r="E24" i="61"/>
  <c r="E25" i="61"/>
  <c r="E16" i="61"/>
  <c r="E26" i="61"/>
  <c r="E22" i="22"/>
  <c r="E12" i="22"/>
  <c r="F11" i="22" s="1"/>
  <c r="E19" i="61"/>
  <c r="E23" i="61"/>
  <c r="G12" i="61"/>
  <c r="H12" i="61"/>
  <c r="D30" i="61" s="1"/>
  <c r="J12" i="61"/>
  <c r="E30" i="61" s="1"/>
  <c r="E18" i="22"/>
  <c r="E17" i="22"/>
  <c r="G12" i="22"/>
  <c r="H12" i="22"/>
  <c r="D28" i="22" s="1"/>
  <c r="J12" i="22"/>
  <c r="E28" i="22" s="1"/>
  <c r="E18" i="61" l="1"/>
  <c r="F10" i="22"/>
  <c r="E6" i="22"/>
  <c r="F6" i="22" s="1"/>
  <c r="F8" i="22"/>
  <c r="F9" i="22"/>
  <c r="F7" i="22"/>
  <c r="F12" i="22"/>
</calcChain>
</file>

<file path=xl/sharedStrings.xml><?xml version="1.0" encoding="utf-8"?>
<sst xmlns="http://schemas.openxmlformats.org/spreadsheetml/2006/main" count="288775" uniqueCount="310">
  <si>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</si>
  <si>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</si>
  <si>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</si>
  <si>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</si>
  <si>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</si>
  <si>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</si>
  <si>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</si>
  <si>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</si>
  <si>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</si>
  <si>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</si>
  <si>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</si>
  <si>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</si>
  <si>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</si>
  <si>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</si>
  <si>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</si>
  <si>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</si>
  <si>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</si>
  <si>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</si>
  <si>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</si>
  <si>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</si>
  <si>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</si>
  <si>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</si>
  <si>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</si>
  <si>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</si>
  <si>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</si>
  <si>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</si>
  <si>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</si>
  <si>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</si>
  <si>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</si>
  <si>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</si>
  <si>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</si>
  <si>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</si>
  <si>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</si>
  <si>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</si>
  <si>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</si>
  <si>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</si>
  <si>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</si>
  <si>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</si>
  <si>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</si>
  <si>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</si>
  <si>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</si>
  <si>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</si>
  <si>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</si>
  <si>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</si>
  <si>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</si>
  <si>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</si>
  <si>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</si>
  <si>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</si>
  <si>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</si>
  <si>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</si>
  <si>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</si>
  <si>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</si>
  <si>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</si>
  <si>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</si>
  <si>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</si>
  <si>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</si>
  <si>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</si>
  <si>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</si>
  <si>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</si>
  <si>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</si>
  <si>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</si>
  <si>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</si>
  <si>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</si>
  <si>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</si>
  <si>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</si>
  <si>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</si>
  <si>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</si>
  <si>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</si>
  <si>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</si>
  <si>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</si>
  <si>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</si>
  <si>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</si>
  <si>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</si>
  <si>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</si>
  <si>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</si>
  <si>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</si>
  <si>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</si>
  <si>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</si>
  <si>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</si>
  <si>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</si>
  <si>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</si>
  <si>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</si>
  <si>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</si>
  <si>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</si>
  <si>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</si>
  <si>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</si>
  <si>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</si>
  <si>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</si>
  <si>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</si>
  <si>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</si>
  <si>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</si>
  <si>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</si>
  <si>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</si>
  <si>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</si>
  <si>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</si>
  <si>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</si>
  <si>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</si>
  <si>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</si>
  <si>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</si>
  <si>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</si>
  <si>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</si>
  <si>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</si>
  <si>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</si>
  <si>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</si>
  <si>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</si>
  <si>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</si>
  <si>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</si>
  <si>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</si>
  <si>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</si>
  <si>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</si>
  <si>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</si>
  <si>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</si>
  <si>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</si>
  <si>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</si>
  <si>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</si>
  <si>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</si>
  <si>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</si>
  <si>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</si>
  <si>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</si>
  <si>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</si>
  <si>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</si>
  <si>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</si>
  <si>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</si>
  <si>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</si>
  <si>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</si>
  <si>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</si>
  <si>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</si>
  <si>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</si>
  <si>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</si>
  <si>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</si>
  <si>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</si>
  <si>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</si>
  <si>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</si>
  <si>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</si>
  <si>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</si>
  <si>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</si>
  <si>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</si>
  <si>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</si>
  <si>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</si>
  <si>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</si>
  <si>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</si>
  <si>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</si>
  <si>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</si>
  <si>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</si>
  <si>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</si>
  <si>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</si>
  <si>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</si>
  <si>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</si>
  <si>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</si>
  <si>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</si>
  <si>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</si>
  <si>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</si>
  <si>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</si>
  <si>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</si>
  <si>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</si>
  <si>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</si>
  <si>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</si>
  <si>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</si>
  <si>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</si>
  <si>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</si>
  <si>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</si>
  <si>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</si>
  <si>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</si>
  <si>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</si>
  <si>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</si>
  <si>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</si>
  <si>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</si>
  <si>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</si>
  <si>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</si>
  <si>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</si>
  <si>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</si>
  <si>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</si>
  <si>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</si>
  <si>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</si>
  <si>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</si>
  <si>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</si>
  <si>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</si>
  <si>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</si>
  <si>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</si>
  <si>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</si>
  <si>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</si>
  <si>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</si>
  <si>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</si>
  <si>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</si>
  <si>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</si>
  <si>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</si>
  <si>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</si>
  <si>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</si>
  <si>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</si>
  <si>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</si>
  <si>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</si>
  <si>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</si>
  <si>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</si>
  <si>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</si>
  <si>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</si>
  <si>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</si>
  <si>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</si>
  <si>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</si>
  <si>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</si>
  <si>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</si>
  <si>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</si>
  <si>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</si>
  <si>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</si>
  <si>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</si>
  <si>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</si>
  <si>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</si>
  <si>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</si>
  <si>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</si>
  <si>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</si>
  <si>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</si>
  <si>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</si>
  <si>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</si>
  <si>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</si>
  <si>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</si>
  <si>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</si>
  <si>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</si>
  <si>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</si>
  <si>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</si>
  <si>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</si>
  <si>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</si>
  <si>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</si>
  <si>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</si>
  <si>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</si>
  <si>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</si>
  <si>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</si>
  <si>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</si>
  <si>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</si>
  <si>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</si>
  <si>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</si>
  <si>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</si>
  <si>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</si>
  <si>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</si>
  <si>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</si>
  <si>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</si>
  <si>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</si>
  <si>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</si>
  <si>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</si>
  <si>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</si>
  <si>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</si>
  <si>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</si>
  <si>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</si>
  <si>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</si>
  <si>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</si>
  <si>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</si>
  <si>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</si>
  <si>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</si>
  <si>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</si>
  <si>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</si>
  <si>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</si>
  <si>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</si>
  <si>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</si>
  <si>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</si>
  <si>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</si>
  <si>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</si>
  <si>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</si>
  <si>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</si>
  <si>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</si>
  <si>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</si>
  <si>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</si>
  <si>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</si>
  <si>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</si>
  <si>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</si>
  <si>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</si>
  <si>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</si>
  <si>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</si>
  <si>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</si>
  <si>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</si>
  <si>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</si>
  <si>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</si>
  <si>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</si>
  <si>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</si>
  <si>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</si>
  <si>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</si>
  <si>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</si>
  <si>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</si>
  <si>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</si>
  <si>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</si>
  <si>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</si>
  <si>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</si>
  <si>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</si>
  <si>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</si>
  <si>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</si>
  <si>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>Número_Questão</t>
  </si>
  <si>
    <t>Tipo_Questão</t>
  </si>
  <si>
    <t>Título_Questão</t>
  </si>
  <si>
    <t>TítuloGráfico</t>
  </si>
  <si>
    <t>Observações</t>
  </si>
  <si>
    <t>Avalie os serviços prestados pelas unidades ligadas diretamente ao Gabinete da Reitoria que você utilizou em 2021: [Diretoria Disciplinar]</t>
  </si>
  <si>
    <t>Eixo 5: questão 16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</si>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</sst>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4" fillId="0" borderId="0" xfId="2" applyFont="1" applyFill="1" applyBorder="1"/>
    <xf numFmtId="0" fontId="12" fillId="0" borderId="0" xfId="2" applyFont="1" applyFill="1" applyBorder="1"/>
    <xf numFmtId="0" fontId="19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8B739EC7-2FA9-4790-BC20-E5BC908E99E1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070592"/>
        <c:axId val="107072128"/>
      </c:barChart>
      <c:catAx>
        <c:axId val="10707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072128"/>
        <c:crosses val="autoZero"/>
        <c:auto val="1"/>
        <c:lblAlgn val="ctr"/>
        <c:lblOffset val="100"/>
        <c:noMultiLvlLbl val="0"/>
      </c:catAx>
      <c:valAx>
        <c:axId val="10707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07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'Q5.16'!$C$6:$C$11</c:f>
              <c:numCache>
                <c:formatCode>General</c:formatCode>
                <c:ptCount val="6"/>
                <c:pt idx="0">
                  <c:v>717</c:v>
                </c:pt>
                <c:pt idx="1">
                  <c:v>49</c:v>
                </c:pt>
                <c:pt idx="2">
                  <c:v>44</c:v>
                </c:pt>
                <c:pt idx="3">
                  <c:v>15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5-44E7-A92A-C9ECFF29714E}"/>
            </c:ext>
          </c:extLst>
        </c:ser>
        <c:ser>
          <c:idx val="1"/>
          <c:order val="1"/>
          <c:tx>
            <c:strRef>
              <c:f>'Q5.16'!$D$5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'Q5.16'!$D$6:$D$11</c:f>
              <c:numCache>
                <c:formatCode>General</c:formatCode>
                <c:ptCount val="6"/>
                <c:pt idx="0">
                  <c:v>500</c:v>
                </c:pt>
                <c:pt idx="1">
                  <c:v>21</c:v>
                </c:pt>
                <c:pt idx="2">
                  <c:v>21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5-44E7-A92A-C9ECFF2971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735872"/>
        <c:axId val="126737408"/>
      </c:barChart>
      <c:catAx>
        <c:axId val="12673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737408"/>
        <c:crosses val="autoZero"/>
        <c:auto val="1"/>
        <c:lblAlgn val="ctr"/>
        <c:lblOffset val="100"/>
        <c:noMultiLvlLbl val="0"/>
      </c:catAx>
      <c:valAx>
        <c:axId val="1267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73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55-4E78-8055-3463319C33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55-4E78-8055-3463319C33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55-4E78-8055-3463319C336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'Q5.16'!$D$16:$D$18</c:f>
              <c:numCache>
                <c:formatCode>General</c:formatCode>
                <c:ptCount val="3"/>
                <c:pt idx="0">
                  <c:v>8</c:v>
                </c:pt>
                <c:pt idx="1">
                  <c:v>15</c:v>
                </c:pt>
                <c:pt idx="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55-4E78-8055-3463319C3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38-4B9A-9377-557E768A21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38-4B9A-9377-557E768A21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38-4B9A-9377-557E768A2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'Q5.16'!$D$22:$D$24</c:f>
              <c:numCache>
                <c:formatCode>General</c:formatCode>
                <c:ptCount val="3"/>
                <c:pt idx="0">
                  <c:v>20</c:v>
                </c:pt>
                <c:pt idx="1">
                  <c:v>12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38-4B9A-9377-557E768A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'Q5.16'!$C$28:$E$28</c:f>
              <c:numCache>
                <c:formatCode>0.00</c:formatCode>
                <c:ptCount val="3"/>
                <c:pt idx="0">
                  <c:v>10</c:v>
                </c:pt>
                <c:pt idx="1">
                  <c:v>7.7789473684210524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6-44DE-BF04-6610D532981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979456"/>
        <c:axId val="127006976"/>
      </c:lineChart>
      <c:catAx>
        <c:axId val="1269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006976"/>
        <c:crosses val="autoZero"/>
        <c:auto val="1"/>
        <c:lblAlgn val="ctr"/>
        <c:lblOffset val="100"/>
        <c:noMultiLvlLbl val="0"/>
      </c:catAx>
      <c:valAx>
        <c:axId val="12700697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9794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47A61E-1485-4C40-977A-B4E568021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C16FBDE-0F95-427C-9EB3-1CD34382A813}"/>
            </a:ext>
            <a:ext uri="{147F2762-F138-4A5C-976F-8EAC2B608ADB}">
              <a16:predDERef xmlns:a16="http://schemas.microsoft.com/office/drawing/2014/main" pred="{A447A61E-1485-4C40-977A-B4E568021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72B83BAB-CE20-4C7B-AAAF-BA34B1A6EC6D}"/>
            </a:ext>
            <a:ext uri="{147F2762-F138-4A5C-976F-8EAC2B608ADB}">
              <a16:predDERef xmlns:a16="http://schemas.microsoft.com/office/drawing/2014/main" pred="{AC16FBDE-0F95-427C-9EB3-1CD34382A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C7B4249D-3387-4CAA-A8D3-41402696CC03}"/>
            </a:ext>
            <a:ext uri="{147F2762-F138-4A5C-976F-8EAC2B608ADB}">
              <a16:predDERef xmlns:a16="http://schemas.microsoft.com/office/drawing/2014/main" pred="{72B83BAB-CE20-4C7B-AAAF-BA34B1A6E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2" totalsRowShown="0" headerRowDxfId="6" dataDxfId="5">
  <autoFilter ref="A1:E2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"/>
  <sheetViews>
    <sheetView showGridLines="0" tabSelected="1" zoomScale="60" zoomScaleNormal="60" workbookViewId="0">
      <selection activeCell="E35" sqref="E35"/>
    </sheetView>
  </sheetViews>
  <sheetFormatPr defaultRowHeight="15" x14ac:dyDescent="0.2"/>
  <cols>
    <col min="1" max="1" width="9" style="39" customWidth="1"/>
    <col min="2" max="2" width="27.5703125" style="39" customWidth="1"/>
    <col min="3" max="3" width="19.28515625" style="39" customWidth="1"/>
    <col min="4" max="4" width="25.85546875" style="39" customWidth="1"/>
    <col min="5" max="5" width="40" style="39" customWidth="1"/>
    <col min="6" max="6" width="26.42578125" style="39" customWidth="1"/>
    <col min="7" max="7" width="34" style="39" customWidth="1"/>
    <col min="8" max="8" width="11.85546875" style="39" customWidth="1"/>
    <col min="9" max="9" width="26.42578125" style="39" customWidth="1"/>
    <col min="10" max="10" width="37.140625" style="39" customWidth="1"/>
    <col min="11" max="16384" width="9.140625" style="39"/>
  </cols>
  <sheetData>
    <row r="1" spans="1:15" ht="15.75" x14ac:dyDescent="0.25">
      <c r="A1" s="38" t="s">
        <v>0</v>
      </c>
    </row>
    <row r="3" spans="1:15" ht="15.75" x14ac:dyDescent="0.25">
      <c r="A3" s="41" t="s">
        <v>1</v>
      </c>
      <c r="B3" s="41"/>
      <c r="C3" s="41"/>
      <c r="D3" s="41"/>
      <c r="E3" s="41"/>
      <c r="F3" s="41"/>
      <c r="H3" s="42"/>
      <c r="I3" s="42"/>
      <c r="J3" s="42"/>
      <c r="K3" s="43"/>
      <c r="L3" s="43"/>
      <c r="M3" s="43"/>
      <c r="N3" s="43"/>
      <c r="O3" s="43"/>
    </row>
    <row r="4" spans="1:15" x14ac:dyDescent="0.2">
      <c r="A4" s="44" t="s">
        <v>2</v>
      </c>
      <c r="B4" s="45" t="s">
        <v>3</v>
      </c>
      <c r="C4" s="61"/>
      <c r="H4" s="46"/>
      <c r="I4" s="46"/>
      <c r="J4" s="46"/>
      <c r="K4" s="46"/>
      <c r="L4" s="47"/>
      <c r="M4" s="47"/>
      <c r="N4" s="43"/>
      <c r="O4" s="43"/>
    </row>
    <row r="5" spans="1:15" x14ac:dyDescent="0.2">
      <c r="A5" s="44" t="s">
        <v>4</v>
      </c>
      <c r="B5" s="60" t="s">
        <v>5</v>
      </c>
      <c r="C5" s="40"/>
      <c r="H5" s="48"/>
      <c r="I5" s="43"/>
      <c r="J5" s="43"/>
      <c r="K5" s="43"/>
      <c r="L5" s="49"/>
      <c r="M5" s="49"/>
      <c r="N5" s="43"/>
      <c r="O5" s="43"/>
    </row>
    <row r="6" spans="1:15" x14ac:dyDescent="0.2">
      <c r="H6" s="43"/>
      <c r="I6" s="43"/>
      <c r="J6" s="43"/>
      <c r="K6" s="43"/>
      <c r="L6" s="43"/>
      <c r="M6" s="43"/>
      <c r="N6" s="43"/>
      <c r="O6" s="43"/>
    </row>
    <row r="7" spans="1:15" x14ac:dyDescent="0.2">
      <c r="A7" s="39" t="s">
        <v>6</v>
      </c>
    </row>
    <row r="8" spans="1:15" x14ac:dyDescent="0.2">
      <c r="A8" s="39" t="s">
        <v>7</v>
      </c>
    </row>
    <row r="10" spans="1:15" x14ac:dyDescent="0.2">
      <c r="A10" s="39" t="s">
        <v>8</v>
      </c>
    </row>
    <row r="11" spans="1:15" ht="100.5" customHeight="1" x14ac:dyDescent="0.2">
      <c r="A11" s="67" t="s">
        <v>9</v>
      </c>
      <c r="B11" s="67"/>
      <c r="C11" s="67"/>
      <c r="D11" s="67"/>
      <c r="E11" s="67"/>
      <c r="F11" s="67"/>
    </row>
    <row r="12" spans="1:15" x14ac:dyDescent="0.2">
      <c r="A12" s="62"/>
    </row>
    <row r="13" spans="1:15" x14ac:dyDescent="0.2">
      <c r="A13" s="42" t="s">
        <v>10</v>
      </c>
    </row>
    <row r="14" spans="1:15" s="53" customFormat="1" x14ac:dyDescent="0.2">
      <c r="A14" s="51"/>
      <c r="B14" s="69" t="s">
        <v>11</v>
      </c>
      <c r="C14" s="70"/>
      <c r="D14" s="51" t="s">
        <v>12</v>
      </c>
      <c r="E14" s="52" t="s">
        <v>13</v>
      </c>
      <c r="F14" s="47"/>
    </row>
    <row r="15" spans="1:15" x14ac:dyDescent="0.2">
      <c r="A15" s="59" t="s">
        <v>14</v>
      </c>
      <c r="B15" s="71">
        <f>COUNTIF(Resp5[Vínculo],A15)</f>
        <v>833</v>
      </c>
      <c r="C15" s="72"/>
      <c r="D15" s="54">
        <v>2019</v>
      </c>
      <c r="E15" s="55">
        <f>ROUND(B15/$D15*100,3)</f>
        <v>41.258000000000003</v>
      </c>
      <c r="F15" s="49"/>
    </row>
    <row r="16" spans="1:15" x14ac:dyDescent="0.2">
      <c r="A16" s="56" t="s">
        <v>15</v>
      </c>
      <c r="B16" s="71">
        <f>COUNTIF(Resp5[Vínculo],A16)</f>
        <v>574</v>
      </c>
      <c r="C16" s="72"/>
      <c r="D16" s="54">
        <v>2675</v>
      </c>
      <c r="E16" s="55">
        <f t="shared" ref="E16:E17" si="0">ROUND(B16/$D16*100,3)</f>
        <v>21.457999999999998</v>
      </c>
      <c r="F16" s="49"/>
    </row>
    <row r="17" spans="1:22" x14ac:dyDescent="0.2">
      <c r="A17" s="57" t="s">
        <v>16</v>
      </c>
      <c r="B17" s="71">
        <f>SUM(B15:B16)</f>
        <v>1407</v>
      </c>
      <c r="C17" s="72"/>
      <c r="D17" s="54">
        <f>SUM(D15:D16)</f>
        <v>4694</v>
      </c>
      <c r="E17" s="55">
        <f t="shared" si="0"/>
        <v>29.974</v>
      </c>
      <c r="F17" s="49"/>
    </row>
    <row r="18" spans="1:22" x14ac:dyDescent="0.2">
      <c r="A18" s="50">
        <v>1</v>
      </c>
      <c r="B18" s="68" t="s">
        <v>17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22" x14ac:dyDescent="0.2">
      <c r="A19" s="50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1:22" x14ac:dyDescent="0.2">
      <c r="A20" s="50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22" x14ac:dyDescent="0.2">
      <c r="A21" s="39" t="s">
        <v>18</v>
      </c>
    </row>
    <row r="22" spans="1:22" ht="39.75" customHeight="1" x14ac:dyDescent="0.2">
      <c r="A22" s="67" t="s">
        <v>19</v>
      </c>
      <c r="B22" s="67"/>
      <c r="C22" s="67"/>
      <c r="D22" s="67"/>
      <c r="E22" s="67"/>
      <c r="F22" s="67"/>
      <c r="G22" s="67"/>
      <c r="H22" s="67"/>
      <c r="I22" s="67"/>
    </row>
    <row r="23" spans="1:22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1:22" ht="15.75" x14ac:dyDescent="0.25">
      <c r="A24" s="83" t="s">
        <v>20</v>
      </c>
      <c r="B24" s="83"/>
      <c r="C24"/>
      <c r="D24" s="84" t="s">
        <v>5</v>
      </c>
      <c r="E24" s="85"/>
      <c r="F24" s="74"/>
      <c r="G24" s="74"/>
      <c r="H24" s="74"/>
      <c r="I24" s="75"/>
      <c r="J24" s="74"/>
      <c r="K24" s="74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1:22" ht="15.75" x14ac:dyDescent="0.25">
      <c r="A25" s="86" t="s">
        <v>21</v>
      </c>
      <c r="B25" s="86"/>
      <c r="C25"/>
      <c r="D25" s="87" t="s">
        <v>22</v>
      </c>
      <c r="E25" s="87" t="s">
        <v>307</v>
      </c>
      <c r="F25" s="75"/>
      <c r="G25" s="74"/>
      <c r="H25" s="74"/>
      <c r="I25" s="77"/>
      <c r="J25" s="77"/>
      <c r="K25" s="74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 ht="15.75" x14ac:dyDescent="0.25">
      <c r="A26" s="86" t="s">
        <v>23</v>
      </c>
      <c r="B26" s="86"/>
      <c r="C26"/>
      <c r="D26" s="88" t="s">
        <v>24</v>
      </c>
      <c r="E26" s="89" t="s">
        <v>25</v>
      </c>
      <c r="F26" s="77"/>
      <c r="G26" s="77"/>
      <c r="H26" s="74"/>
      <c r="I26" s="77"/>
      <c r="J26" s="77"/>
      <c r="K26" s="74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</row>
    <row r="27" spans="1:22" ht="15.75" x14ac:dyDescent="0.25">
      <c r="A27" s="86" t="s">
        <v>308</v>
      </c>
      <c r="B27" s="86"/>
      <c r="C27"/>
      <c r="D27" s="90" t="s">
        <v>26</v>
      </c>
      <c r="E27" s="91" t="s">
        <v>309</v>
      </c>
      <c r="F27" s="77"/>
      <c r="G27" s="77"/>
      <c r="H27" s="74"/>
      <c r="I27" s="77"/>
      <c r="J27" s="77"/>
      <c r="K27" s="74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</row>
    <row r="28" spans="1:22" ht="15.75" x14ac:dyDescent="0.25">
      <c r="A28" s="86" t="s">
        <v>27</v>
      </c>
      <c r="B28" s="86"/>
      <c r="C28" s="92"/>
      <c r="D28" s="92"/>
      <c r="E28" s="93"/>
      <c r="F28" s="77"/>
      <c r="G28" s="77"/>
      <c r="H28" s="74"/>
      <c r="I28" s="77"/>
      <c r="J28" s="77"/>
      <c r="K28" s="74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29" spans="1:22" ht="15.75" x14ac:dyDescent="0.25">
      <c r="A29" s="86" t="s">
        <v>28</v>
      </c>
      <c r="B29" s="86"/>
      <c r="C29" s="92"/>
      <c r="D29" s="92"/>
      <c r="E29" s="93"/>
      <c r="F29" s="79"/>
      <c r="G29" s="79"/>
      <c r="H29" s="74"/>
      <c r="I29" s="74"/>
      <c r="J29" s="74"/>
      <c r="K29" s="74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0" spans="1:22" ht="15.75" x14ac:dyDescent="0.25">
      <c r="A30" s="74"/>
      <c r="B30" s="78"/>
      <c r="C30" s="79"/>
      <c r="D30" s="79"/>
      <c r="E30" s="79"/>
      <c r="F30" s="79"/>
      <c r="G30" s="79"/>
      <c r="H30" s="74"/>
      <c r="I30" s="75"/>
      <c r="J30" s="74"/>
      <c r="K30" s="74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</row>
    <row r="31" spans="1:22" ht="15.75" x14ac:dyDescent="0.25">
      <c r="A31" s="74"/>
      <c r="B31" s="78"/>
      <c r="C31" s="79"/>
      <c r="D31" s="79"/>
      <c r="E31" s="79"/>
      <c r="F31" s="79"/>
      <c r="G31" s="79"/>
      <c r="H31" s="74"/>
      <c r="I31" s="77"/>
      <c r="J31" s="77"/>
      <c r="K31" s="74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</row>
    <row r="32" spans="1:22" ht="15.75" x14ac:dyDescent="0.25">
      <c r="A32" s="74"/>
      <c r="B32" s="74"/>
      <c r="C32" s="74"/>
      <c r="D32" s="74"/>
      <c r="E32" s="74"/>
      <c r="F32" s="74"/>
      <c r="G32" s="74"/>
      <c r="H32" s="74"/>
      <c r="I32" s="77"/>
      <c r="J32" s="77"/>
      <c r="K32" s="74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</row>
    <row r="33" spans="1:22" ht="15.75" x14ac:dyDescent="0.25">
      <c r="A33" s="74"/>
      <c r="B33" s="74"/>
      <c r="C33" s="80"/>
      <c r="D33" s="80"/>
      <c r="E33" s="74"/>
      <c r="F33" s="74"/>
      <c r="G33" s="74"/>
      <c r="H33" s="74"/>
      <c r="I33" s="74"/>
      <c r="J33" s="74"/>
      <c r="K33" s="74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</row>
    <row r="34" spans="1:22" ht="15.75" x14ac:dyDescent="0.25">
      <c r="A34" s="74"/>
      <c r="B34" s="74"/>
      <c r="C34" s="81"/>
      <c r="D34" s="82"/>
      <c r="E34" s="74"/>
      <c r="F34" s="74"/>
      <c r="G34" s="74"/>
      <c r="H34" s="74"/>
      <c r="I34" s="75"/>
      <c r="J34" s="74"/>
      <c r="K34" s="74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</row>
    <row r="35" spans="1:22" ht="15.75" x14ac:dyDescent="0.25">
      <c r="A35" s="74"/>
      <c r="B35" s="74"/>
      <c r="C35" s="81"/>
      <c r="D35" s="82"/>
      <c r="E35" s="74"/>
      <c r="F35" s="74"/>
      <c r="G35" s="74"/>
      <c r="H35" s="74"/>
      <c r="I35" s="77"/>
      <c r="J35" s="77"/>
      <c r="K35" s="74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</row>
    <row r="36" spans="1:22" ht="15.75" x14ac:dyDescent="0.25">
      <c r="A36" s="74"/>
      <c r="B36" s="74"/>
      <c r="C36" s="81"/>
      <c r="D36" s="76"/>
      <c r="E36" s="74"/>
      <c r="F36" s="74"/>
      <c r="G36" s="74"/>
      <c r="H36" s="74"/>
      <c r="I36" s="77"/>
      <c r="J36" s="77"/>
      <c r="K36" s="74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</row>
    <row r="37" spans="1:22" ht="15.75" x14ac:dyDescent="0.25">
      <c r="A37" s="74"/>
      <c r="B37" s="74"/>
      <c r="C37" s="74"/>
      <c r="D37" s="74"/>
      <c r="E37" s="74"/>
      <c r="F37" s="74"/>
      <c r="G37" s="74"/>
      <c r="H37" s="74"/>
      <c r="I37" s="73"/>
      <c r="J37" s="73"/>
      <c r="K37" s="74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</row>
    <row r="38" spans="1:22" ht="15.75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</row>
    <row r="39" spans="1:22" ht="15.75" x14ac:dyDescent="0.25">
      <c r="A39" s="74"/>
      <c r="B39" s="74"/>
      <c r="C39" s="74"/>
      <c r="D39" s="74"/>
      <c r="E39" s="74"/>
      <c r="F39" s="74"/>
      <c r="G39" s="74"/>
      <c r="H39" s="74"/>
      <c r="I39" s="75"/>
      <c r="J39" s="74"/>
      <c r="K39" s="74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</row>
    <row r="40" spans="1:22" ht="15.75" x14ac:dyDescent="0.25">
      <c r="A40" s="74"/>
      <c r="B40" s="74"/>
      <c r="C40" s="74"/>
      <c r="D40" s="74"/>
      <c r="E40" s="74"/>
      <c r="F40" s="74"/>
      <c r="G40" s="74"/>
      <c r="H40" s="74"/>
      <c r="I40" s="77"/>
      <c r="J40" s="77"/>
      <c r="K40" s="74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</row>
    <row r="41" spans="1:22" ht="15.75" x14ac:dyDescent="0.25">
      <c r="A41" s="74"/>
      <c r="B41" s="74"/>
      <c r="C41" s="74"/>
      <c r="D41" s="74"/>
      <c r="E41" s="74"/>
      <c r="F41" s="74"/>
      <c r="G41" s="74"/>
      <c r="H41" s="74"/>
      <c r="I41" s="77"/>
      <c r="J41" s="77"/>
      <c r="K41" s="74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 ht="15.75" x14ac:dyDescent="0.25">
      <c r="A42" s="58"/>
      <c r="B42" s="58"/>
      <c r="C42" s="58"/>
      <c r="D42" s="58"/>
      <c r="E42" s="58"/>
      <c r="F42" s="58"/>
      <c r="G42" s="58"/>
      <c r="H42" s="58"/>
      <c r="I42" s="65"/>
      <c r="J42" s="65"/>
      <c r="K42" s="58"/>
    </row>
    <row r="43" spans="1:22" ht="15.75" x14ac:dyDescent="0.25">
      <c r="A43" s="58"/>
      <c r="B43" s="58"/>
      <c r="C43" s="58"/>
      <c r="D43" s="58"/>
      <c r="E43" s="58"/>
      <c r="F43" s="58"/>
      <c r="G43" s="58"/>
      <c r="H43" s="58"/>
      <c r="I43" s="65"/>
      <c r="J43" s="65"/>
      <c r="K43" s="58"/>
    </row>
    <row r="44" spans="1:22" ht="15.75" x14ac:dyDescent="0.25">
      <c r="A44" s="58"/>
      <c r="B44" s="58"/>
      <c r="C44" s="58"/>
      <c r="D44" s="58"/>
      <c r="E44" s="58"/>
      <c r="F44" s="58"/>
      <c r="G44" s="58"/>
      <c r="H44" s="58"/>
      <c r="I44" s="64"/>
      <c r="J44" s="64"/>
      <c r="K44" s="58"/>
    </row>
    <row r="45" spans="1:22" ht="15.75" x14ac:dyDescent="0.25">
      <c r="A45" s="58"/>
      <c r="B45" s="58"/>
      <c r="C45" s="58"/>
      <c r="D45" s="58"/>
      <c r="E45" s="58"/>
      <c r="F45" s="58"/>
      <c r="G45" s="58"/>
      <c r="H45" s="58"/>
      <c r="I45" s="63"/>
      <c r="J45" s="64"/>
      <c r="K45" s="58"/>
    </row>
    <row r="46" spans="1:22" ht="15.75" x14ac:dyDescent="0.25">
      <c r="A46" s="58"/>
      <c r="B46" s="58"/>
      <c r="C46" s="58"/>
      <c r="D46" s="58"/>
      <c r="E46" s="58"/>
      <c r="F46" s="58"/>
      <c r="G46" s="58"/>
      <c r="H46" s="58"/>
      <c r="I46" s="65"/>
      <c r="J46" s="65"/>
      <c r="K46" s="58"/>
    </row>
    <row r="47" spans="1:22" ht="15.75" x14ac:dyDescent="0.25">
      <c r="A47" s="58"/>
      <c r="B47" s="58"/>
      <c r="C47" s="58"/>
      <c r="D47" s="58"/>
      <c r="E47" s="58"/>
      <c r="F47" s="58"/>
      <c r="G47" s="58"/>
      <c r="H47" s="58"/>
      <c r="I47" s="65"/>
      <c r="J47" s="65"/>
      <c r="K47" s="58"/>
    </row>
    <row r="48" spans="1:22" ht="15.75" x14ac:dyDescent="0.25">
      <c r="A48" s="58"/>
      <c r="B48" s="58"/>
      <c r="C48" s="58"/>
      <c r="D48" s="58"/>
      <c r="E48" s="58"/>
      <c r="F48" s="58"/>
      <c r="G48" s="58"/>
      <c r="H48" s="58"/>
      <c r="I48" s="65"/>
      <c r="J48" s="65"/>
      <c r="K48" s="58"/>
    </row>
    <row r="49" spans="2:11" ht="15.75" x14ac:dyDescent="0.25">
      <c r="B49" s="58"/>
      <c r="C49" s="58"/>
      <c r="D49" s="58"/>
      <c r="E49" s="58"/>
      <c r="F49" s="58"/>
      <c r="G49" s="58"/>
      <c r="H49" s="58"/>
      <c r="I49" s="66"/>
      <c r="J49" s="66"/>
    </row>
    <row r="50" spans="2:11" ht="15.75" x14ac:dyDescent="0.25">
      <c r="I50" s="63"/>
      <c r="J50" s="66"/>
    </row>
    <row r="51" spans="2:11" ht="15.75" x14ac:dyDescent="0.25">
      <c r="I51" s="64"/>
      <c r="J51" s="64"/>
      <c r="K51" s="58"/>
    </row>
    <row r="52" spans="2:11" x14ac:dyDescent="0.2">
      <c r="I52" s="66"/>
      <c r="J52" s="66"/>
    </row>
    <row r="53" spans="2:11" x14ac:dyDescent="0.2">
      <c r="I53" s="66"/>
      <c r="J53" s="66"/>
    </row>
    <row r="54" spans="2:11" x14ac:dyDescent="0.2">
      <c r="I54" s="66"/>
      <c r="J54" s="66"/>
    </row>
    <row r="55" spans="2:11" x14ac:dyDescent="0.2">
      <c r="I55" s="66"/>
      <c r="J55" s="66"/>
    </row>
    <row r="56" spans="2:11" x14ac:dyDescent="0.2">
      <c r="I56" s="66"/>
      <c r="J56" s="66"/>
    </row>
    <row r="57" spans="2:11" x14ac:dyDescent="0.2">
      <c r="I57" s="66"/>
      <c r="J57" s="66"/>
    </row>
    <row r="58" spans="2:11" x14ac:dyDescent="0.2">
      <c r="I58" s="66"/>
      <c r="J58" s="66"/>
    </row>
    <row r="59" spans="2:11" x14ac:dyDescent="0.2">
      <c r="I59" s="66"/>
      <c r="J59" s="66"/>
    </row>
    <row r="60" spans="2:11" x14ac:dyDescent="0.2">
      <c r="I60" s="66"/>
      <c r="J60" s="66"/>
    </row>
    <row r="61" spans="2:11" x14ac:dyDescent="0.2">
      <c r="I61" s="66"/>
      <c r="J61" s="66"/>
    </row>
    <row r="62" spans="2:11" x14ac:dyDescent="0.2">
      <c r="I62" s="66"/>
      <c r="J62" s="66"/>
    </row>
    <row r="63" spans="2:11" x14ac:dyDescent="0.2">
      <c r="I63" s="66"/>
      <c r="J63" s="66"/>
    </row>
    <row r="64" spans="2:11" x14ac:dyDescent="0.2">
      <c r="I64" s="66"/>
      <c r="J64" s="66"/>
    </row>
    <row r="65" spans="9:10" x14ac:dyDescent="0.2">
      <c r="I65" s="66"/>
      <c r="J65" s="66"/>
    </row>
    <row r="66" spans="9:10" x14ac:dyDescent="0.2">
      <c r="I66" s="66"/>
      <c r="J66" s="66"/>
    </row>
    <row r="67" spans="9:10" x14ac:dyDescent="0.2">
      <c r="I67" s="66"/>
      <c r="J67" s="66"/>
    </row>
    <row r="68" spans="9:10" x14ac:dyDescent="0.2">
      <c r="I68" s="66"/>
      <c r="J68" s="66"/>
    </row>
    <row r="69" spans="9:10" x14ac:dyDescent="0.2">
      <c r="I69" s="66"/>
      <c r="J69" s="66"/>
    </row>
    <row r="70" spans="9:10" x14ac:dyDescent="0.2">
      <c r="I70" s="66"/>
      <c r="J70" s="66"/>
    </row>
    <row r="71" spans="9:10" x14ac:dyDescent="0.2">
      <c r="I71" s="66"/>
      <c r="J71" s="66"/>
    </row>
    <row r="72" spans="9:10" x14ac:dyDescent="0.2">
      <c r="I72" s="66"/>
      <c r="J72" s="66"/>
    </row>
    <row r="73" spans="9:10" x14ac:dyDescent="0.2">
      <c r="I73" s="66"/>
      <c r="J73" s="66"/>
    </row>
    <row r="74" spans="9:10" x14ac:dyDescent="0.2">
      <c r="I74" s="66"/>
      <c r="J74" s="66"/>
    </row>
    <row r="75" spans="9:10" x14ac:dyDescent="0.2">
      <c r="I75" s="66"/>
      <c r="J75" s="66"/>
    </row>
    <row r="76" spans="9:10" x14ac:dyDescent="0.2">
      <c r="I76" s="66"/>
      <c r="J76" s="66"/>
    </row>
    <row r="77" spans="9:10" x14ac:dyDescent="0.2">
      <c r="I77" s="66"/>
      <c r="J77" s="66"/>
    </row>
    <row r="78" spans="9:10" x14ac:dyDescent="0.2">
      <c r="I78" s="66"/>
      <c r="J78" s="66"/>
    </row>
    <row r="79" spans="9:10" x14ac:dyDescent="0.2">
      <c r="I79" s="66"/>
      <c r="J79" s="66"/>
    </row>
    <row r="80" spans="9:10" x14ac:dyDescent="0.2">
      <c r="I80" s="66"/>
      <c r="J80" s="66"/>
    </row>
    <row r="81" spans="9:10" x14ac:dyDescent="0.2">
      <c r="I81" s="66"/>
      <c r="J81" s="66"/>
    </row>
    <row r="82" spans="9:10" x14ac:dyDescent="0.2">
      <c r="I82" s="66"/>
      <c r="J82" s="66"/>
    </row>
    <row r="83" spans="9:10" x14ac:dyDescent="0.2">
      <c r="I83" s="66"/>
      <c r="J83" s="66"/>
    </row>
    <row r="84" spans="9:10" x14ac:dyDescent="0.2">
      <c r="I84" s="66"/>
      <c r="J84" s="66"/>
    </row>
    <row r="85" spans="9:10" x14ac:dyDescent="0.2">
      <c r="I85" s="66"/>
      <c r="J85" s="66"/>
    </row>
    <row r="86" spans="9:10" x14ac:dyDescent="0.2">
      <c r="I86" s="66"/>
      <c r="J86" s="66"/>
    </row>
    <row r="87" spans="9:10" x14ac:dyDescent="0.2">
      <c r="I87" s="66"/>
      <c r="J87" s="66"/>
    </row>
    <row r="88" spans="9:10" x14ac:dyDescent="0.2">
      <c r="I88" s="66"/>
      <c r="J88" s="66"/>
    </row>
    <row r="89" spans="9:10" x14ac:dyDescent="0.2">
      <c r="I89" s="66"/>
      <c r="J89" s="66"/>
    </row>
    <row r="90" spans="9:10" x14ac:dyDescent="0.2">
      <c r="I90" s="66"/>
      <c r="J90" s="66"/>
    </row>
    <row r="91" spans="9:10" x14ac:dyDescent="0.2">
      <c r="I91" s="66"/>
      <c r="J91" s="66"/>
    </row>
    <row r="92" spans="9:10" x14ac:dyDescent="0.2">
      <c r="I92" s="66"/>
      <c r="J92" s="66"/>
    </row>
    <row r="93" spans="9:10" x14ac:dyDescent="0.2">
      <c r="I93" s="66"/>
      <c r="J93" s="66"/>
    </row>
    <row r="94" spans="9:10" x14ac:dyDescent="0.2">
      <c r="I94" s="66"/>
      <c r="J94" s="66"/>
    </row>
    <row r="95" spans="9:10" x14ac:dyDescent="0.2">
      <c r="I95" s="66"/>
      <c r="J95" s="66"/>
    </row>
    <row r="96" spans="9:10" x14ac:dyDescent="0.2">
      <c r="I96" s="66"/>
      <c r="J96" s="66"/>
    </row>
    <row r="97" spans="9:10" x14ac:dyDescent="0.2">
      <c r="I97" s="66"/>
      <c r="J97" s="66"/>
    </row>
    <row r="98" spans="9:10" x14ac:dyDescent="0.2">
      <c r="I98" s="66"/>
      <c r="J98" s="66"/>
    </row>
    <row r="99" spans="9:10" x14ac:dyDescent="0.2">
      <c r="I99" s="66"/>
      <c r="J99" s="66"/>
    </row>
    <row r="100" spans="9:10" x14ac:dyDescent="0.2">
      <c r="I100" s="66"/>
      <c r="J100" s="66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zoomScaleNormal="100" workbookViewId="0">
      <selection activeCell="A3" sqref="A3:XFD189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282</v>
      </c>
      <c r="B1" s="3" t="s">
        <v>283</v>
      </c>
      <c r="C1" s="4" t="s">
        <v>284</v>
      </c>
      <c r="D1" s="4" t="s">
        <v>285</v>
      </c>
      <c r="E1" s="4" t="s">
        <v>286</v>
      </c>
    </row>
    <row r="2" spans="1:5" ht="15" x14ac:dyDescent="0.25">
      <c r="A2" t="s">
        <v>46</v>
      </c>
      <c r="B2" s="1" t="s">
        <v>4</v>
      </c>
      <c r="C2" s="1" t="s">
        <v>287</v>
      </c>
      <c r="D2" s="5" t="s">
        <v>288</v>
      </c>
      <c r="E2" s="6" t="s">
        <v>278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0" customWidth="1"/>
    <col min="2" max="2" width="23" style="30" customWidth="1"/>
    <col min="3" max="6" width="9.140625" style="30" customWidth="1"/>
    <col min="7" max="7" width="9.140625" style="31" customWidth="1"/>
    <col min="8" max="10" width="9.140625" style="30" hidden="1" customWidth="1"/>
    <col min="11" max="20" width="9.140625" style="30" customWidth="1"/>
    <col min="21" max="16384" width="9.140625" style="30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289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290</v>
      </c>
      <c r="C5" s="9" t="s">
        <v>291</v>
      </c>
      <c r="D5" s="9" t="s">
        <v>292</v>
      </c>
      <c r="E5" s="9" t="s">
        <v>293</v>
      </c>
      <c r="F5" s="10" t="s">
        <v>294</v>
      </c>
      <c r="G5" s="10" t="s">
        <v>295</v>
      </c>
      <c r="H5" t="s">
        <v>280</v>
      </c>
      <c r="I5" t="s">
        <v>279</v>
      </c>
      <c r="J5" s="21" t="s">
        <v>281</v>
      </c>
      <c r="K5"/>
      <c r="L5"/>
      <c r="M5"/>
      <c r="N5"/>
      <c r="O5"/>
    </row>
    <row r="6" spans="1:15" x14ac:dyDescent="0.25">
      <c r="A6" t="s">
        <v>296</v>
      </c>
      <c r="B6" s="8" t="s">
        <v>297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3">
        <f t="shared" ref="F6:F12" si="0">ROUND($E6/1724*100,2)</f>
        <v>88.75</v>
      </c>
      <c r="G6" s="13"/>
      <c r="H6"/>
      <c r="I6"/>
      <c r="J6" s="27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3">
        <f t="shared" si="0"/>
        <v>4.7</v>
      </c>
      <c r="G7" s="13">
        <f>ROUND($E7/SUM($E$7:$E$11)*100,3)</f>
        <v>41.753</v>
      </c>
      <c r="H7">
        <f>E7*10</f>
        <v>810</v>
      </c>
      <c r="I7"/>
      <c r="J7" s="13">
        <f>E11/SUM(E7:E11)</f>
        <v>2.5773195876288658E-2</v>
      </c>
      <c r="K7"/>
      <c r="L7"/>
      <c r="M7" s="16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3">
        <f t="shared" si="0"/>
        <v>4.6399999999999997</v>
      </c>
      <c r="G8" s="13">
        <f>ROUND($E8/SUM($E$7:$E$11)*100,3)</f>
        <v>41.237000000000002</v>
      </c>
      <c r="H8">
        <f>E8*8</f>
        <v>640</v>
      </c>
      <c r="I8"/>
      <c r="J8" s="13">
        <f>(E11+E10)/SUM(E7:E11)</f>
        <v>5.6701030927835051E-2</v>
      </c>
      <c r="K8"/>
      <c r="L8"/>
      <c r="M8" s="16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3">
        <f t="shared" si="0"/>
        <v>1.28</v>
      </c>
      <c r="G9" s="13">
        <f>ROUND($E9/SUM($E$7:$E$11)*100,3)</f>
        <v>11.34</v>
      </c>
      <c r="H9">
        <f>E9*6</f>
        <v>132</v>
      </c>
      <c r="I9"/>
      <c r="J9" s="13">
        <f>(E11+E10+E9)/SUM(E7:E11)</f>
        <v>0.17010309278350516</v>
      </c>
      <c r="K9"/>
      <c r="L9"/>
      <c r="M9" s="16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3">
        <f t="shared" si="0"/>
        <v>0.35</v>
      </c>
      <c r="G10" s="13">
        <f>ROUND($E10/SUM($E$7:$E$11)*100,3)</f>
        <v>3.093</v>
      </c>
      <c r="H10">
        <f>E10*4</f>
        <v>24</v>
      </c>
      <c r="I10"/>
      <c r="J10" s="13">
        <f>(E11+E10+E9+E8)/SUM(E7:E11)</f>
        <v>0.58247422680412375</v>
      </c>
      <c r="K10"/>
      <c r="L10"/>
      <c r="M10" s="16"/>
      <c r="N10"/>
      <c r="O10"/>
    </row>
    <row r="11" spans="1:15" x14ac:dyDescent="0.25">
      <c r="A11"/>
      <c r="B11" s="15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3">
        <f t="shared" si="0"/>
        <v>0.28999999999999998</v>
      </c>
      <c r="G11" s="13">
        <f>ROUND($E11/SUM($E$7:$E$11)*100,3)</f>
        <v>2.577</v>
      </c>
      <c r="H11">
        <f>E11*2</f>
        <v>10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298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8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299</v>
      </c>
      <c r="C15" s="20" t="s">
        <v>300</v>
      </c>
      <c r="D15" s="9" t="s">
        <v>291</v>
      </c>
      <c r="E15" s="10" t="s">
        <v>294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2" t="s">
        <v>301</v>
      </c>
      <c r="C16" s="32" t="s">
        <v>22</v>
      </c>
      <c r="D16" s="17">
        <f>SUM(C10:C11)</f>
        <v>4</v>
      </c>
      <c r="E16" s="18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3" t="s">
        <v>302</v>
      </c>
      <c r="C17" s="33" t="s">
        <v>303</v>
      </c>
      <c r="D17" s="17">
        <f>C6</f>
        <v>767</v>
      </c>
      <c r="E17" s="18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4" t="s">
        <v>304</v>
      </c>
      <c r="C18" s="34" t="s">
        <v>24</v>
      </c>
      <c r="D18" s="17">
        <f>C9</f>
        <v>6</v>
      </c>
      <c r="E18" s="18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5" t="s">
        <v>305</v>
      </c>
      <c r="C19" s="35" t="s">
        <v>26</v>
      </c>
      <c r="D19" s="25">
        <f>SUM(C7:C8)</f>
        <v>56</v>
      </c>
      <c r="E19" s="26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299</v>
      </c>
      <c r="C22" s="20" t="s">
        <v>300</v>
      </c>
      <c r="D22" s="9" t="s">
        <v>292</v>
      </c>
      <c r="E22" s="10" t="s">
        <v>294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2" t="s">
        <v>301</v>
      </c>
      <c r="C23" s="32" t="s">
        <v>22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6" t="s">
        <v>302</v>
      </c>
      <c r="C24" s="36" t="s">
        <v>303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4" t="s">
        <v>304</v>
      </c>
      <c r="C25" s="34" t="s">
        <v>24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5" t="s">
        <v>305</v>
      </c>
      <c r="C26" s="35" t="s">
        <v>26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29</v>
      </c>
      <c r="C29" s="23" t="s">
        <v>279</v>
      </c>
      <c r="D29" s="24" t="s">
        <v>280</v>
      </c>
      <c r="E29" s="24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306</v>
      </c>
      <c r="C30" s="29">
        <f>I12</f>
        <v>10</v>
      </c>
      <c r="D30" s="29">
        <f>H12</f>
        <v>8.3298969072164954</v>
      </c>
      <c r="E30" s="29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8"/>
  <sheetViews>
    <sheetView workbookViewId="0">
      <selection activeCell="A5" sqref="A5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46</v>
      </c>
      <c r="B1" s="8"/>
      <c r="C1" s="8"/>
    </row>
    <row r="2" spans="1:13" ht="15" x14ac:dyDescent="0.25">
      <c r="A2" s="8" t="str">
        <f>TEXT(A1,"0.000")</f>
        <v>5.16</v>
      </c>
      <c r="B2" s="8" t="str">
        <f>VLOOKUP(A$2, Eixo5[], 3, FALSE)</f>
        <v>Avalie os serviços prestados pelas unidades ligadas diretamente ao Gabinete da Reitoria que você utilizou em 2021: [Diretoria Disciplinar]</v>
      </c>
    </row>
    <row r="3" spans="1:13" ht="15" x14ac:dyDescent="0.25">
      <c r="A3" s="8" t="s">
        <v>289</v>
      </c>
      <c r="B3" s="8" t="str">
        <f>VLOOKUP(A$2, Eixo5[], 4, FALSE)</f>
        <v>Eixo 5: questão 16</v>
      </c>
    </row>
    <row r="5" spans="1:13" ht="15" x14ac:dyDescent="0.25">
      <c r="B5" s="9" t="s">
        <v>290</v>
      </c>
      <c r="C5" s="9" t="s">
        <v>291</v>
      </c>
      <c r="D5" s="9" t="s">
        <v>292</v>
      </c>
      <c r="E5" s="9" t="s">
        <v>293</v>
      </c>
      <c r="F5" s="10" t="s">
        <v>294</v>
      </c>
      <c r="G5" s="10" t="s">
        <v>295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296</v>
      </c>
      <c r="B6" s="8" t="s">
        <v>297</v>
      </c>
      <c r="C6" s="8">
        <f>COUNTIF(Resp5[],"tecnico")-SUM(C$7:C$11)</f>
        <v>717</v>
      </c>
      <c r="D6" s="8">
        <f>COUNTIF(Resp5[],"docente")-SUM(D$7:D$11)</f>
        <v>500</v>
      </c>
      <c r="E6" s="11">
        <f>E12-SUM(E7:E11)</f>
        <v>1217</v>
      </c>
      <c r="F6" s="13">
        <f>ROUND($E6/E$12*100,2)</f>
        <v>86.5</v>
      </c>
      <c r="G6" s="13"/>
      <c r="J6" s="27"/>
    </row>
    <row r="7" spans="1:13" ht="15" x14ac:dyDescent="0.25">
      <c r="B7" s="8" t="s">
        <v>244</v>
      </c>
      <c r="C7" s="11">
        <f>COUNTIFS(Resp5[Vínculo],"tecnico",Resp5[5.16],B7)</f>
        <v>49</v>
      </c>
      <c r="D7" s="11">
        <f>COUNTIFS(Resp5[Vínculo],"docente",Resp5[5.16],B7)</f>
        <v>21</v>
      </c>
      <c r="E7" s="11">
        <f>COUNTIF(Resp5[5.16],B7)</f>
        <v>70</v>
      </c>
      <c r="F7" s="13">
        <f t="shared" ref="F7:F12" si="0">ROUND($E7/E$12*100,2)</f>
        <v>4.9800000000000004</v>
      </c>
      <c r="G7" s="13">
        <f>ROUND($E7/SUM($E$7:$E$11)*100,3)</f>
        <v>36.841999999999999</v>
      </c>
      <c r="H7">
        <f>E7*10</f>
        <v>700</v>
      </c>
      <c r="J7" s="13">
        <f>E11/SUM(E7:E11)</f>
        <v>4.2105263157894736E-2</v>
      </c>
      <c r="M7" s="16"/>
    </row>
    <row r="8" spans="1:13" ht="15" x14ac:dyDescent="0.25">
      <c r="B8" s="8" t="s">
        <v>239</v>
      </c>
      <c r="C8" s="11">
        <f>COUNTIFS(Resp5[Vínculo],"tecnico",Resp5[5.16],B8)</f>
        <v>44</v>
      </c>
      <c r="D8" s="11">
        <f>COUNTIFS(Resp5[Vínculo],"docente",Resp5[5.16],B8)</f>
        <v>21</v>
      </c>
      <c r="E8" s="11">
        <f>COUNTIF(Resp5[5.16],B8)</f>
        <v>65</v>
      </c>
      <c r="F8" s="13">
        <f t="shared" si="0"/>
        <v>4.62</v>
      </c>
      <c r="G8" s="13">
        <f>ROUND($E8/SUM($E$7:$E$11)*100,3)</f>
        <v>34.210999999999999</v>
      </c>
      <c r="H8">
        <f>E8*8</f>
        <v>520</v>
      </c>
      <c r="J8" s="13">
        <f>(E11+E10)/SUM(E7:E11)</f>
        <v>0.14736842105263157</v>
      </c>
      <c r="M8" s="16"/>
    </row>
    <row r="9" spans="1:13" ht="15" x14ac:dyDescent="0.25">
      <c r="B9" s="8" t="s">
        <v>237</v>
      </c>
      <c r="C9" s="11">
        <f>COUNTIFS(Resp5[Vínculo],"tecnico",Resp5[5.16],B9)</f>
        <v>15</v>
      </c>
      <c r="D9" s="11">
        <f>COUNTIFS(Resp5[Vínculo],"docente",Resp5[5.16],B9)</f>
        <v>12</v>
      </c>
      <c r="E9" s="11">
        <f>COUNTIF(Resp5[5.16],B9)</f>
        <v>27</v>
      </c>
      <c r="F9" s="13">
        <f t="shared" si="0"/>
        <v>1.92</v>
      </c>
      <c r="G9" s="13">
        <f>ROUND($E9/SUM($E$7:$E$11)*100,3)</f>
        <v>14.211</v>
      </c>
      <c r="H9">
        <f>E9*6</f>
        <v>162</v>
      </c>
      <c r="J9" s="13">
        <f>(E11+E10+E9)/SUM(E7:E11)</f>
        <v>0.28947368421052633</v>
      </c>
      <c r="M9" s="16"/>
    </row>
    <row r="10" spans="1:13" ht="15" x14ac:dyDescent="0.25">
      <c r="B10" s="8" t="s">
        <v>242</v>
      </c>
      <c r="C10" s="11">
        <f>COUNTIFS(Resp5[Vínculo],"tecnico",Resp5[5.16],B10)</f>
        <v>8</v>
      </c>
      <c r="D10" s="11">
        <f>COUNTIFS(Resp5[Vínculo],"docente",Resp5[5.16],B10)</f>
        <v>12</v>
      </c>
      <c r="E10" s="11">
        <f>COUNTIF(Resp5[5.16],B10)</f>
        <v>20</v>
      </c>
      <c r="F10" s="13">
        <f t="shared" si="0"/>
        <v>1.42</v>
      </c>
      <c r="G10" s="13">
        <f>ROUND($E10/SUM($E$7:$E$11)*100,3)</f>
        <v>10.526</v>
      </c>
      <c r="H10">
        <f>E10*4</f>
        <v>80</v>
      </c>
      <c r="J10" s="13">
        <f>(E11+E10+E9+E8)/SUM(E7:E11)</f>
        <v>0.63157894736842102</v>
      </c>
      <c r="M10" s="16"/>
    </row>
    <row r="11" spans="1:13" ht="15" x14ac:dyDescent="0.25">
      <c r="B11" s="15" t="s">
        <v>241</v>
      </c>
      <c r="C11" s="11">
        <f>COUNTIFS(Resp5[Vínculo],"tecnico",Resp5[5.16],B11)</f>
        <v>0</v>
      </c>
      <c r="D11" s="11">
        <f>COUNTIFS(Resp5[Vínculo],"docente",Resp5[5.16],B11)</f>
        <v>8</v>
      </c>
      <c r="E11" s="11">
        <f>COUNTIF(Resp5[5.16],B11)</f>
        <v>8</v>
      </c>
      <c r="F11" s="13">
        <f t="shared" si="0"/>
        <v>0.56999999999999995</v>
      </c>
      <c r="G11" s="13">
        <f>ROUND($E11/SUM($E$7:$E$11)*100,3)</f>
        <v>4.2110000000000003</v>
      </c>
      <c r="H11">
        <f>E11*2</f>
        <v>16</v>
      </c>
      <c r="J11" s="13">
        <f>(E11+E10+E9+E8+E7)/SUM(E7:E11)</f>
        <v>1</v>
      </c>
      <c r="M11" s="16"/>
    </row>
    <row r="12" spans="1:13" ht="15" x14ac:dyDescent="0.25">
      <c r="B12" s="8" t="s">
        <v>298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4">
        <f t="shared" si="0"/>
        <v>100</v>
      </c>
      <c r="G12" s="14">
        <f>SUM(G7:G11)</f>
        <v>100.00099999999999</v>
      </c>
      <c r="H12">
        <f>SUM(H7:H11)/SUM(E7:E11)</f>
        <v>7.7789473684210524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8"/>
      <c r="M13" s="16"/>
    </row>
    <row r="15" spans="1:13" ht="15" x14ac:dyDescent="0.25">
      <c r="B15" s="20" t="s">
        <v>299</v>
      </c>
      <c r="C15" s="20" t="s">
        <v>300</v>
      </c>
      <c r="D15" s="9" t="s">
        <v>291</v>
      </c>
      <c r="E15" s="10" t="s">
        <v>294</v>
      </c>
    </row>
    <row r="16" spans="1:13" ht="15" x14ac:dyDescent="0.25">
      <c r="B16" s="32" t="s">
        <v>301</v>
      </c>
      <c r="C16" s="32" t="s">
        <v>22</v>
      </c>
      <c r="D16" s="17">
        <f>SUM(C10:C11)</f>
        <v>8</v>
      </c>
      <c r="E16" s="18">
        <f>ROUND(D16/SUM(D$16:D$18)*100,3)</f>
        <v>6.8970000000000002</v>
      </c>
    </row>
    <row r="17" spans="2:5" ht="15" x14ac:dyDescent="0.25">
      <c r="B17" s="34" t="s">
        <v>304</v>
      </c>
      <c r="C17" s="34" t="s">
        <v>24</v>
      </c>
      <c r="D17" s="17">
        <f>C9</f>
        <v>15</v>
      </c>
      <c r="E17" s="18">
        <f>ROUND(D17/SUM(D$16:D$18)*100,3)</f>
        <v>12.930999999999999</v>
      </c>
    </row>
    <row r="18" spans="2:5" ht="15" x14ac:dyDescent="0.25">
      <c r="B18" s="37" t="s">
        <v>305</v>
      </c>
      <c r="C18" s="37" t="s">
        <v>26</v>
      </c>
      <c r="D18" s="25">
        <f>SUM(C7:C8)</f>
        <v>93</v>
      </c>
      <c r="E18" s="26">
        <f>ROUND(D18/SUM(D$16:D$18)*100,3)</f>
        <v>80.171999999999997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299</v>
      </c>
      <c r="C21" s="20" t="s">
        <v>300</v>
      </c>
      <c r="D21" s="9" t="s">
        <v>292</v>
      </c>
      <c r="E21" s="10" t="s">
        <v>294</v>
      </c>
    </row>
    <row r="22" spans="2:5" ht="15" x14ac:dyDescent="0.25">
      <c r="B22" s="32" t="s">
        <v>301</v>
      </c>
      <c r="C22" s="32" t="s">
        <v>22</v>
      </c>
      <c r="D22" s="17">
        <f>SUM(D10:D11)</f>
        <v>20</v>
      </c>
      <c r="E22" s="18">
        <f>ROUND(D22/SUM(D$22:D$24)*100,3)</f>
        <v>27.027000000000001</v>
      </c>
    </row>
    <row r="23" spans="2:5" ht="15" x14ac:dyDescent="0.25">
      <c r="B23" s="34" t="s">
        <v>304</v>
      </c>
      <c r="C23" s="34" t="s">
        <v>24</v>
      </c>
      <c r="D23" s="17">
        <f>D9</f>
        <v>12</v>
      </c>
      <c r="E23" s="18">
        <f>ROUND(D23/SUM(D$22:D$24)*100,3)</f>
        <v>16.216000000000001</v>
      </c>
    </row>
    <row r="24" spans="2:5" ht="15" x14ac:dyDescent="0.25">
      <c r="B24" s="37" t="s">
        <v>305</v>
      </c>
      <c r="C24" s="37" t="s">
        <v>26</v>
      </c>
      <c r="D24" s="25">
        <f>SUM(D7:D8)</f>
        <v>42</v>
      </c>
      <c r="E24" s="26">
        <f>ROUND(D24/SUM(D$22:D$24)*100,3)</f>
        <v>56.756999999999998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306</v>
      </c>
      <c r="C28" s="29">
        <f>I12</f>
        <v>10</v>
      </c>
      <c r="D28" s="29">
        <f>H12</f>
        <v>7.7789473684210524</v>
      </c>
      <c r="E28" s="29">
        <f>J12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OrientaçõesInformações</vt:lpstr>
      <vt:lpstr>Eixo 5</vt:lpstr>
      <vt:lpstr>TituloQuestões</vt:lpstr>
      <vt:lpstr>Q2.06</vt:lpstr>
      <vt:lpstr>Q5.16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2022-01-14T17:29:57Z</dcterms:modified>
  <cp:category/>
  <cp:contentStatus/>
</cp:coreProperties>
</file>