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BIOLÓGICAS/"/>
    </mc:Choice>
  </mc:AlternateContent>
  <xr:revisionPtr revIDLastSave="5" documentId="11_60D6D9F7A7E548FEEC31804377A59ECF3C668210" xr6:coauthVersionLast="47" xr6:coauthVersionMax="47" xr10:uidLastSave="{9A412F13-B7CF-4338-B6F1-016C878DC741}"/>
  <bookViews>
    <workbookView xWindow="22275" yWindow="870" windowWidth="24150" windowHeight="1378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17BL" sheetId="125" r:id="rId5"/>
    <sheet name="Q5.118" sheetId="126" r:id="rId6"/>
    <sheet name="Q5.119" sheetId="127" r:id="rId7"/>
    <sheet name="Q5.120" sheetId="128" r:id="rId8"/>
    <sheet name="Q5.121" sheetId="129" r:id="rId9"/>
    <sheet name="Q5.122" sheetId="13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130" l="1"/>
  <c r="D8" i="130"/>
  <c r="E8" i="130"/>
  <c r="C9" i="130"/>
  <c r="D17" i="130" s="1"/>
  <c r="D9" i="130"/>
  <c r="D23" i="130" s="1"/>
  <c r="E9" i="130"/>
  <c r="C10" i="130"/>
  <c r="D10" i="130"/>
  <c r="E10" i="130"/>
  <c r="C11" i="130"/>
  <c r="D11" i="130"/>
  <c r="E11" i="130"/>
  <c r="E7" i="130"/>
  <c r="D7" i="130"/>
  <c r="D24" i="130" s="1"/>
  <c r="C7" i="130"/>
  <c r="A2" i="130"/>
  <c r="C8" i="129"/>
  <c r="D8" i="129"/>
  <c r="E8" i="129"/>
  <c r="C9" i="129"/>
  <c r="D17" i="129" s="1"/>
  <c r="D9" i="129"/>
  <c r="D23" i="129" s="1"/>
  <c r="E9" i="129"/>
  <c r="C10" i="129"/>
  <c r="D10" i="129"/>
  <c r="E10" i="129"/>
  <c r="C11" i="129"/>
  <c r="D11" i="129"/>
  <c r="E11" i="129"/>
  <c r="E7" i="129"/>
  <c r="D7" i="129"/>
  <c r="D24" i="129" s="1"/>
  <c r="C7" i="129"/>
  <c r="A2" i="129"/>
  <c r="C8" i="128"/>
  <c r="D8" i="128"/>
  <c r="E8" i="128"/>
  <c r="C9" i="128"/>
  <c r="D9" i="128"/>
  <c r="D23" i="128" s="1"/>
  <c r="E9" i="128"/>
  <c r="C10" i="128"/>
  <c r="D10" i="128"/>
  <c r="E10" i="128"/>
  <c r="C11" i="128"/>
  <c r="D11" i="128"/>
  <c r="E11" i="128"/>
  <c r="E7" i="128"/>
  <c r="D7" i="128"/>
  <c r="D24" i="128" s="1"/>
  <c r="C7" i="128"/>
  <c r="D17" i="128"/>
  <c r="A2" i="128"/>
  <c r="C8" i="127"/>
  <c r="D8" i="127"/>
  <c r="E8" i="127"/>
  <c r="C9" i="127"/>
  <c r="D17" i="127" s="1"/>
  <c r="D9" i="127"/>
  <c r="D23" i="127" s="1"/>
  <c r="E9" i="127"/>
  <c r="C10" i="127"/>
  <c r="D10" i="127"/>
  <c r="E10" i="127"/>
  <c r="C11" i="127"/>
  <c r="D11" i="127"/>
  <c r="E11" i="127"/>
  <c r="E7" i="127"/>
  <c r="D7" i="127"/>
  <c r="D24" i="127" s="1"/>
  <c r="C7" i="127"/>
  <c r="A2" i="127"/>
  <c r="C8" i="126"/>
  <c r="D8" i="126"/>
  <c r="E8" i="126"/>
  <c r="C9" i="126"/>
  <c r="D17" i="126" s="1"/>
  <c r="D9" i="126"/>
  <c r="D23" i="126" s="1"/>
  <c r="E9" i="126"/>
  <c r="C10" i="126"/>
  <c r="D10" i="126"/>
  <c r="E10" i="126"/>
  <c r="C11" i="126"/>
  <c r="D11" i="126"/>
  <c r="E11" i="126"/>
  <c r="E7" i="126"/>
  <c r="D7" i="126"/>
  <c r="D24" i="126" s="1"/>
  <c r="C7" i="126"/>
  <c r="A2" i="126"/>
  <c r="C8" i="125"/>
  <c r="D8" i="125"/>
  <c r="E8" i="125"/>
  <c r="E7" i="125"/>
  <c r="D7" i="125"/>
  <c r="C7" i="125"/>
  <c r="A2" i="125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18" i="127" l="1"/>
  <c r="D18" i="129"/>
  <c r="D6" i="130"/>
  <c r="D12" i="130" s="1"/>
  <c r="D22" i="127"/>
  <c r="D16" i="126"/>
  <c r="D16" i="127"/>
  <c r="D16" i="128"/>
  <c r="E6" i="61"/>
  <c r="D23" i="61"/>
  <c r="D6" i="125"/>
  <c r="D9" i="125" s="1"/>
  <c r="C6" i="125"/>
  <c r="C9" i="125" s="1"/>
  <c r="D22" i="126"/>
  <c r="D6" i="61"/>
  <c r="D19" i="61"/>
  <c r="E9" i="125"/>
  <c r="D6" i="126"/>
  <c r="D12" i="126" s="1"/>
  <c r="C6" i="128"/>
  <c r="C12" i="128" s="1"/>
  <c r="D22" i="128"/>
  <c r="C6" i="129"/>
  <c r="C12" i="129" s="1"/>
  <c r="D16" i="129"/>
  <c r="C6" i="126"/>
  <c r="C12" i="126" s="1"/>
  <c r="C6" i="127"/>
  <c r="C12" i="127" s="1"/>
  <c r="D22" i="129"/>
  <c r="D18" i="130"/>
  <c r="D16" i="130"/>
  <c r="C6" i="61"/>
  <c r="C12" i="61" s="1"/>
  <c r="D26" i="61"/>
  <c r="D16" i="61"/>
  <c r="D6" i="128"/>
  <c r="D12" i="128" s="1"/>
  <c r="D6" i="129"/>
  <c r="D18" i="126"/>
  <c r="D6" i="127"/>
  <c r="D18" i="128"/>
  <c r="C6" i="130"/>
  <c r="C12" i="130" s="1"/>
  <c r="D22" i="130"/>
  <c r="B3" i="130"/>
  <c r="B2" i="130"/>
  <c r="I12" i="130"/>
  <c r="C28" i="130" s="1"/>
  <c r="J8" i="130"/>
  <c r="J7" i="130"/>
  <c r="H7" i="130"/>
  <c r="G7" i="130"/>
  <c r="H8" i="130"/>
  <c r="G8" i="130"/>
  <c r="J9" i="130"/>
  <c r="H9" i="130"/>
  <c r="G9" i="130"/>
  <c r="J10" i="130"/>
  <c r="H10" i="130"/>
  <c r="G10" i="130"/>
  <c r="J11" i="130"/>
  <c r="H11" i="130"/>
  <c r="G11" i="130"/>
  <c r="B3" i="129"/>
  <c r="B2" i="129"/>
  <c r="I12" i="129"/>
  <c r="C28" i="129" s="1"/>
  <c r="J8" i="129"/>
  <c r="J7" i="129"/>
  <c r="H7" i="129"/>
  <c r="G7" i="129"/>
  <c r="H8" i="129"/>
  <c r="G8" i="129"/>
  <c r="J9" i="129"/>
  <c r="H9" i="129"/>
  <c r="G9" i="129"/>
  <c r="J10" i="129"/>
  <c r="H10" i="129"/>
  <c r="G10" i="129"/>
  <c r="J11" i="129"/>
  <c r="H11" i="129"/>
  <c r="G11" i="129"/>
  <c r="B3" i="128"/>
  <c r="B2" i="128"/>
  <c r="I12" i="128"/>
  <c r="C28" i="128" s="1"/>
  <c r="J8" i="128"/>
  <c r="J7" i="128"/>
  <c r="H7" i="128"/>
  <c r="G7" i="128"/>
  <c r="H8" i="128"/>
  <c r="G8" i="128"/>
  <c r="J9" i="128"/>
  <c r="H9" i="128"/>
  <c r="G9" i="128"/>
  <c r="J10" i="128"/>
  <c r="H10" i="128"/>
  <c r="G10" i="128"/>
  <c r="J11" i="128"/>
  <c r="H11" i="128"/>
  <c r="G11" i="128"/>
  <c r="B3" i="127"/>
  <c r="B2" i="127"/>
  <c r="I12" i="127"/>
  <c r="C28" i="127" s="1"/>
  <c r="J8" i="127"/>
  <c r="J7" i="127"/>
  <c r="H7" i="127"/>
  <c r="G7" i="127"/>
  <c r="H8" i="127"/>
  <c r="G8" i="127"/>
  <c r="J9" i="127"/>
  <c r="H9" i="127"/>
  <c r="G9" i="127"/>
  <c r="J10" i="127"/>
  <c r="H10" i="127"/>
  <c r="G10" i="127"/>
  <c r="J11" i="127"/>
  <c r="H11" i="127"/>
  <c r="G11" i="127"/>
  <c r="B3" i="126"/>
  <c r="B2" i="126"/>
  <c r="I12" i="126"/>
  <c r="C28" i="126" s="1"/>
  <c r="J8" i="126"/>
  <c r="J7" i="126"/>
  <c r="H7" i="126"/>
  <c r="G7" i="126"/>
  <c r="H8" i="126"/>
  <c r="G8" i="126"/>
  <c r="J9" i="126"/>
  <c r="H9" i="126"/>
  <c r="G9" i="126"/>
  <c r="J10" i="126"/>
  <c r="H10" i="126"/>
  <c r="G10" i="126"/>
  <c r="J11" i="126"/>
  <c r="H11" i="126"/>
  <c r="G11" i="126"/>
  <c r="B3" i="125"/>
  <c r="B2" i="125"/>
  <c r="F9" i="125"/>
  <c r="E6" i="125"/>
  <c r="F6" i="125" s="1"/>
  <c r="G7" i="125"/>
  <c r="F7" i="125"/>
  <c r="G8" i="125"/>
  <c r="F8" i="125"/>
  <c r="B3" i="61"/>
  <c r="B2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D17" i="61" l="1"/>
  <c r="E18" i="130"/>
  <c r="E17" i="61"/>
  <c r="E18" i="126"/>
  <c r="E18" i="127"/>
  <c r="D12" i="129"/>
  <c r="E12" i="129" s="1"/>
  <c r="E16" i="128"/>
  <c r="E16" i="126"/>
  <c r="E16" i="127"/>
  <c r="D12" i="127"/>
  <c r="E12" i="127" s="1"/>
  <c r="E18" i="129"/>
  <c r="E18" i="128"/>
  <c r="E16" i="129"/>
  <c r="E16" i="130"/>
  <c r="E18" i="61"/>
  <c r="E23" i="127"/>
  <c r="E24" i="61"/>
  <c r="E25" i="61"/>
  <c r="E23" i="129"/>
  <c r="E23" i="126"/>
  <c r="E23" i="130"/>
  <c r="E16" i="61"/>
  <c r="E26" i="61"/>
  <c r="C85" i="129"/>
  <c r="C85" i="128"/>
  <c r="C85" i="127"/>
  <c r="C85" i="130"/>
  <c r="C85" i="126"/>
  <c r="E17" i="126"/>
  <c r="E24" i="126"/>
  <c r="E17" i="127"/>
  <c r="E24" i="127"/>
  <c r="E17" i="128"/>
  <c r="E17" i="129"/>
  <c r="E24" i="129"/>
  <c r="E17" i="130"/>
  <c r="E24" i="130"/>
  <c r="E19" i="61"/>
  <c r="E22" i="126"/>
  <c r="E22" i="127"/>
  <c r="E22" i="129"/>
  <c r="E22" i="130"/>
  <c r="G12" i="130"/>
  <c r="H12" i="130"/>
  <c r="D28" i="130" s="1"/>
  <c r="J12" i="130"/>
  <c r="E28" i="130" s="1"/>
  <c r="E12" i="130"/>
  <c r="G12" i="129"/>
  <c r="H12" i="129"/>
  <c r="D28" i="129" s="1"/>
  <c r="J12" i="129"/>
  <c r="E28" i="129" s="1"/>
  <c r="G12" i="128"/>
  <c r="H12" i="128"/>
  <c r="D28" i="128" s="1"/>
  <c r="J12" i="128"/>
  <c r="E28" i="128" s="1"/>
  <c r="E12" i="128"/>
  <c r="G12" i="127"/>
  <c r="H12" i="127"/>
  <c r="D28" i="127" s="1"/>
  <c r="J12" i="127"/>
  <c r="E28" i="127" s="1"/>
  <c r="G12" i="126"/>
  <c r="H12" i="126"/>
  <c r="D28" i="126" s="1"/>
  <c r="J12" i="126"/>
  <c r="E28" i="126" s="1"/>
  <c r="E12" i="126"/>
  <c r="G9" i="125"/>
  <c r="E23" i="61"/>
  <c r="G12" i="61"/>
  <c r="H12" i="61"/>
  <c r="D30" i="61" s="1"/>
  <c r="J12" i="61"/>
  <c r="E30" i="61" s="1"/>
  <c r="E24" i="128" l="1"/>
  <c r="E23" i="128"/>
  <c r="E22" i="128"/>
  <c r="F12" i="130"/>
  <c r="E6" i="130"/>
  <c r="F6" i="130" s="1"/>
  <c r="F7" i="130"/>
  <c r="F8" i="130"/>
  <c r="F9" i="130"/>
  <c r="F10" i="130"/>
  <c r="F11" i="130"/>
  <c r="F12" i="129"/>
  <c r="E6" i="129"/>
  <c r="F6" i="129" s="1"/>
  <c r="F7" i="129"/>
  <c r="F8" i="129"/>
  <c r="F9" i="129"/>
  <c r="F10" i="129"/>
  <c r="F11" i="129"/>
  <c r="F12" i="128"/>
  <c r="E6" i="128"/>
  <c r="F6" i="128" s="1"/>
  <c r="F7" i="128"/>
  <c r="F8" i="128"/>
  <c r="F9" i="128"/>
  <c r="F10" i="128"/>
  <c r="F11" i="128"/>
  <c r="F12" i="127"/>
  <c r="E6" i="127"/>
  <c r="F6" i="127" s="1"/>
  <c r="F7" i="127"/>
  <c r="F8" i="127"/>
  <c r="F9" i="127"/>
  <c r="F10" i="127"/>
  <c r="F11" i="127"/>
  <c r="F12" i="126"/>
  <c r="E6" i="126"/>
  <c r="F6" i="126" s="1"/>
  <c r="F7" i="126"/>
  <c r="F8" i="126"/>
  <c r="F9" i="126"/>
  <c r="F10" i="126"/>
  <c r="F11" i="126"/>
</calcChain>
</file>

<file path=xl/sharedStrings.xml><?xml version="1.0" encoding="utf-8"?>
<sst xmlns="http://schemas.openxmlformats.org/spreadsheetml/2006/main" count="288977" uniqueCount="323">
  <si>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</si>
  <si>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</si>
  <si>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</si>
  <si>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</si>
  <si>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</si>
  <si>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</si>
  <si>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</si>
  <si>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</si>
  <si>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</si>
  <si>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</si>
  <si>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</si>
  <si>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</si>
  <si>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</si>
  <si>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</si>
  <si>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</si>
  <si>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</si>
  <si>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</si>
  <si>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</si>
  <si>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</si>
  <si>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</si>
  <si>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</si>
  <si>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</si>
  <si>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</si>
  <si>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</si>
  <si>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</si>
  <si>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</si>
  <si>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</si>
  <si>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</si>
  <si>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</si>
  <si>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</si>
  <si>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</si>
  <si>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</si>
  <si>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</si>
  <si>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</si>
  <si>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</si>
  <si>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</si>
  <si>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</si>
  <si>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</si>
  <si>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</si>
  <si>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</si>
  <si>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</si>
  <si>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</si>
  <si>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</si>
  <si>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</si>
  <si>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</si>
  <si>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</si>
  <si>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</si>
  <si>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</si>
  <si>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</si>
  <si>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</si>
  <si>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</si>
  <si>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</si>
  <si>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</si>
  <si>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</si>
  <si>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</si>
  <si>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</si>
  <si>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</si>
  <si>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</si>
  <si>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</si>
  <si>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</si>
  <si>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</si>
  <si>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</si>
  <si>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</si>
  <si>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</si>
  <si>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</si>
  <si>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</si>
  <si>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</si>
  <si>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</si>
  <si>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</si>
  <si>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</si>
  <si>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</si>
  <si>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</si>
  <si>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</si>
  <si>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</si>
  <si>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</si>
  <si>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</si>
  <si>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</si>
  <si>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</si>
  <si>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</si>
  <si>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</si>
  <si>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</si>
  <si>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</si>
  <si>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</si>
  <si>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</si>
  <si>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</si>
  <si>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</si>
  <si>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</si>
  <si>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</si>
  <si>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</si>
  <si>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</si>
  <si>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</si>
  <si>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</si>
  <si>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</si>
  <si>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</si>
  <si>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</si>
  <si>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</si>
  <si>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</si>
  <si>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</si>
  <si>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</si>
  <si>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</si>
  <si>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</si>
  <si>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</si>
  <si>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</si>
  <si>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</si>
  <si>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</si>
  <si>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</si>
  <si>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</si>
  <si>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</si>
  <si>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</si>
  <si>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</si>
  <si>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</si>
  <si>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</si>
  <si>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</si>
  <si>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</si>
  <si>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</si>
  <si>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</si>
  <si>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</si>
  <si>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</si>
  <si>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</si>
  <si>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</si>
  <si>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</si>
  <si>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</si>
  <si>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</si>
  <si>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</si>
  <si>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</si>
  <si>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</si>
  <si>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</si>
  <si>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</si>
  <si>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</si>
  <si>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</si>
  <si>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</si>
  <si>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</si>
  <si>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</si>
  <si>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</si>
  <si>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</si>
  <si>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</si>
  <si>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</si>
  <si>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</si>
  <si>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</si>
  <si>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</si>
  <si>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</si>
  <si>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</si>
  <si>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</si>
  <si>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</si>
  <si>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</si>
  <si>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</si>
  <si>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</si>
  <si>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</si>
  <si>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</si>
  <si>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</si>
  <si>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</si>
  <si>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</si>
  <si>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</si>
  <si>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</si>
  <si>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</si>
  <si>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</si>
  <si>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</si>
  <si>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</si>
  <si>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</si>
  <si>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</si>
  <si>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</si>
  <si>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</si>
  <si>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</si>
  <si>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</si>
  <si>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</si>
  <si>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</si>
  <si>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</si>
  <si>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</si>
  <si>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</si>
  <si>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</si>
  <si>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</si>
  <si>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</si>
  <si>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</si>
  <si>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</si>
  <si>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</si>
  <si>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</si>
  <si>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</si>
  <si>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</si>
  <si>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</si>
  <si>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</si>
  <si>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</si>
  <si>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</si>
  <si>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</si>
  <si>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</si>
  <si>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</si>
  <si>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</si>
  <si>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</si>
  <si>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</si>
  <si>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</si>
  <si>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</si>
  <si>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</si>
  <si>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</si>
  <si>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</si>
  <si>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</si>
  <si>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</si>
  <si>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</si>
  <si>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</si>
  <si>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</si>
  <si>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</si>
  <si>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</si>
  <si>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</si>
  <si>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</si>
  <si>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</si>
  <si>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</si>
  <si>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</si>
  <si>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</si>
  <si>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</si>
  <si>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</si>
  <si>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</si>
  <si>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</si>
  <si>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</si>
  <si>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</si>
  <si>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</si>
  <si>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</si>
  <si>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</si>
  <si>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</si>
  <si>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</si>
  <si>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</si>
  <si>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</si>
  <si>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</si>
  <si>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</si>
  <si>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</si>
  <si>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</si>
  <si>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</si>
  <si>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</si>
  <si>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</si>
  <si>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</si>
  <si>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</si>
  <si>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</si>
  <si>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</si>
  <si>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</si>
  <si>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</si>
  <si>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</si>
  <si>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</si>
  <si>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</si>
  <si>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</si>
  <si>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</si>
  <si>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</si>
  <si>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</si>
  <si>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</si>
  <si>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</si>
  <si>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</si>
  <si>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</si>
  <si>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</si>
  <si>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</si>
  <si>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</si>
  <si>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</si>
  <si>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</si>
  <si>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</si>
  <si>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</si>
  <si>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</si>
  <si>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</si>
  <si>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</si>
  <si>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</si>
  <si>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</si>
  <si>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</si>
  <si>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</si>
  <si>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</si>
  <si>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</si>
  <si>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</si>
  <si>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</si>
  <si>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</si>
  <si>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</si>
  <si>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</si>
  <si>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</si>
  <si>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</si>
  <si>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</si>
  <si>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</si>
  <si>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</si>
  <si>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</si>
  <si>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</si>
  <si>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</si>
  <si>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</si>
  <si>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</si>
  <si>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</si>
  <si>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</si>
  <si>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</si>
  <si>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</si>
  <si>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</si>
  <si>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</si>
  <si>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</si>
  <si>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</si>
  <si>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 xml:space="preserve">BIOLÓGICAS 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</si>
  <si>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</si>
  <si>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</si>
  <si>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</si>
  <si>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</si>
  <si>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</si>
  <si>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Setor de Ciências Biológicas em 2021?</t>
  </si>
  <si>
    <t>Eixo 5: questão 117</t>
  </si>
  <si>
    <t>Avalie os serviços prestados pelas unidades do Setor de Ciências Biológicas que você utilizou em 2021: [Direção: Secretaria, Administrativo, Financeiro]</t>
  </si>
  <si>
    <t>Eixo 5: questão 118</t>
  </si>
  <si>
    <t>Avalie os serviços prestados pelas unidades do Setor de Ciências Biológicas que você utilizou em 2021: [Secretarias das Coordenações de Cursos de Graduação]</t>
  </si>
  <si>
    <t>Eixo 5: questão 119</t>
  </si>
  <si>
    <t>Avalie os serviços prestados pelas unidades do Setor de Ciências Biológicas que você utilizou em 2021: [Secretarias de Programas de Pós-Graduação]</t>
  </si>
  <si>
    <t>Eixo 5: questão 120</t>
  </si>
  <si>
    <t>Avalie os serviços prestados pelas unidades do Setor de Ciências Biológicas que você utilizou em 2021: [Secretarias de Departamentos]</t>
  </si>
  <si>
    <t>Eixo 5: questão 121</t>
  </si>
  <si>
    <t>Avalie os serviços prestados pelas unidades do Setor de Ciências Biológicas que você utilizou em 2021: [Laboratórios, Clínicas, Oficinas, Ateliês e/ou equivalentes]</t>
  </si>
  <si>
    <t>Eixo 5: questão 122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</si>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</sst>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8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826C3345-5644-460A-89E3-F10183E6E025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902400"/>
        <c:axId val="83108992"/>
      </c:barChart>
      <c:catAx>
        <c:axId val="829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108992"/>
        <c:crosses val="autoZero"/>
        <c:auto val="1"/>
        <c:lblAlgn val="ctr"/>
        <c:lblOffset val="100"/>
        <c:noMultiLvlLbl val="0"/>
      </c:catAx>
      <c:valAx>
        <c:axId val="8310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9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B-4030-A358-0A12F7FD58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FB-4030-A358-0A12F7FD58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FB-4030-A358-0A12F7FD5809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'Q5.119'!$C$16:$C$18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'Q5.119'!$D$16:$D$18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FB-4030-A358-0A12F7FD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DB-4B19-9B4F-7BB03DB216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DB-4B19-9B4F-7BB03DB216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DB-4B19-9B4F-7BB03DB216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'Q5.119'!$C$22:$C$24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'Q5.119'!$D$22:$D$24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DB-4B19-9B4F-7BB03DB21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'Q5.119'!$B$28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'Q5.119'!$C$28:$E$28</c:f>
              <c:numCache>
                <c:formatCode>0.00</c:formatCode>
                <c:ptCount val="3"/>
                <c:pt idx="0">
                  <c:v>10</c:v>
                </c:pt>
                <c:pt idx="1">
                  <c:v>8.7796610169491522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9-4AEF-A85D-AF283BBE601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63744"/>
        <c:axId val="131674880"/>
      </c:lineChart>
      <c:catAx>
        <c:axId val="131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674880"/>
        <c:crosses val="autoZero"/>
        <c:auto val="1"/>
        <c:lblAlgn val="ctr"/>
        <c:lblOffset val="100"/>
        <c:noMultiLvlLbl val="0"/>
      </c:catAx>
      <c:valAx>
        <c:axId val="13167488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6637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'Q5.120'!$C$6:$C$11</c:f>
              <c:numCache>
                <c:formatCode>General</c:formatCode>
                <c:ptCount val="6"/>
                <c:pt idx="0">
                  <c:v>794</c:v>
                </c:pt>
                <c:pt idx="1">
                  <c:v>18</c:v>
                </c:pt>
                <c:pt idx="2">
                  <c:v>18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E-493B-B9D8-CC7EEFE0F5C3}"/>
            </c:ext>
          </c:extLst>
        </c:ser>
        <c:ser>
          <c:idx val="1"/>
          <c:order val="1"/>
          <c:tx>
            <c:strRef>
              <c:f>'Q5.120'!$D$5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'Q5.120'!$D$6:$D$11</c:f>
              <c:numCache>
                <c:formatCode>General</c:formatCode>
                <c:ptCount val="6"/>
                <c:pt idx="0">
                  <c:v>502</c:v>
                </c:pt>
                <c:pt idx="1">
                  <c:v>40</c:v>
                </c:pt>
                <c:pt idx="2">
                  <c:v>21</c:v>
                </c:pt>
                <c:pt idx="3">
                  <c:v>9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E-493B-B9D8-CC7EEFE0F5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919232"/>
        <c:axId val="131921024"/>
      </c:barChart>
      <c:catAx>
        <c:axId val="1319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921024"/>
        <c:crosses val="autoZero"/>
        <c:auto val="1"/>
        <c:lblAlgn val="ctr"/>
        <c:lblOffset val="100"/>
        <c:noMultiLvlLbl val="0"/>
      </c:catAx>
      <c:valAx>
        <c:axId val="13192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91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5-4282-AC6F-061C23E07C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75-4282-AC6F-061C23E07C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75-4282-AC6F-061C23E07C75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'Q5.120'!$D$16:$D$18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75-4282-AC6F-061C23E07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1-4EE9-A06E-32E12EA50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1-4EE9-A06E-32E12EA50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1-4EE9-A06E-32E12EA50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'Q5.120'!$D$22:$D$24</c:f>
              <c:numCache>
                <c:formatCode>General</c:formatCode>
                <c:ptCount val="3"/>
                <c:pt idx="0">
                  <c:v>2</c:v>
                </c:pt>
                <c:pt idx="1">
                  <c:v>9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41-4EE9-A06E-32E12EA5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'Q5.120'!$B$28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'Q5.120'!$C$28:$E$28</c:f>
              <c:numCache>
                <c:formatCode>0.00</c:formatCode>
                <c:ptCount val="3"/>
                <c:pt idx="0">
                  <c:v>10</c:v>
                </c:pt>
                <c:pt idx="1">
                  <c:v>8.6846846846846848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F-4512-A2B0-1BF8EC2B84E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916736"/>
        <c:axId val="132923776"/>
      </c:lineChart>
      <c:catAx>
        <c:axId val="1329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923776"/>
        <c:crosses val="autoZero"/>
        <c:auto val="1"/>
        <c:lblAlgn val="ctr"/>
        <c:lblOffset val="100"/>
        <c:noMultiLvlLbl val="0"/>
      </c:catAx>
      <c:valAx>
        <c:axId val="13292377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9167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'Q5.121'!$C$6:$C$11</c:f>
              <c:numCache>
                <c:formatCode>General</c:formatCode>
                <c:ptCount val="6"/>
                <c:pt idx="0">
                  <c:v>779</c:v>
                </c:pt>
                <c:pt idx="1">
                  <c:v>27</c:v>
                </c:pt>
                <c:pt idx="2">
                  <c:v>24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4-4C05-9C4F-423F990F6081}"/>
            </c:ext>
          </c:extLst>
        </c:ser>
        <c:ser>
          <c:idx val="1"/>
          <c:order val="1"/>
          <c:tx>
            <c:strRef>
              <c:f>'Q5.121'!$D$5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'Q5.121'!$D$6:$D$11</c:f>
              <c:numCache>
                <c:formatCode>General</c:formatCode>
                <c:ptCount val="6"/>
                <c:pt idx="0">
                  <c:v>493</c:v>
                </c:pt>
                <c:pt idx="1">
                  <c:v>43</c:v>
                </c:pt>
                <c:pt idx="2">
                  <c:v>22</c:v>
                </c:pt>
                <c:pt idx="3">
                  <c:v>12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4-4C05-9C4F-423F990F60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110784"/>
        <c:axId val="133120768"/>
      </c:barChart>
      <c:catAx>
        <c:axId val="1331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20768"/>
        <c:crosses val="autoZero"/>
        <c:auto val="1"/>
        <c:lblAlgn val="ctr"/>
        <c:lblOffset val="100"/>
        <c:noMultiLvlLbl val="0"/>
      </c:catAx>
      <c:valAx>
        <c:axId val="1331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1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4-429A-8DA3-E0CAB52A90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F4-429A-8DA3-E0CAB52A90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F4-429A-8DA3-E0CAB52A9091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'Q5.121'!$D$16:$D$18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F4-429A-8DA3-E0CAB52A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C-4102-9A57-D9B9816DDF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DC-4102-9A57-D9B9816DDF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DC-4102-9A57-D9B9816DDF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'Q5.121'!$D$22:$D$24</c:f>
              <c:numCache>
                <c:formatCode>General</c:formatCode>
                <c:ptCount val="3"/>
                <c:pt idx="0">
                  <c:v>4</c:v>
                </c:pt>
                <c:pt idx="1">
                  <c:v>12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DC-4102-9A57-D9B9816D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'Q5.121'!$B$28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'Q5.121'!$C$28:$E$28</c:f>
              <c:numCache>
                <c:formatCode>0.00</c:formatCode>
                <c:ptCount val="3"/>
                <c:pt idx="0">
                  <c:v>10</c:v>
                </c:pt>
                <c:pt idx="1">
                  <c:v>8.681481481481482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7-4C60-BF53-9F355DAC55E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3354624"/>
        <c:axId val="133509120"/>
      </c:lineChart>
      <c:catAx>
        <c:axId val="1333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509120"/>
        <c:crosses val="autoZero"/>
        <c:auto val="1"/>
        <c:lblAlgn val="ctr"/>
        <c:lblOffset val="100"/>
        <c:noMultiLvlLbl val="0"/>
      </c:catAx>
      <c:valAx>
        <c:axId val="13350912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5462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'Q5.122'!$C$6:$C$11</c:f>
              <c:numCache>
                <c:formatCode>General</c:formatCode>
                <c:ptCount val="6"/>
                <c:pt idx="0">
                  <c:v>783</c:v>
                </c:pt>
                <c:pt idx="1">
                  <c:v>34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F-447E-B1FE-5B1EFA8FE5F2}"/>
            </c:ext>
          </c:extLst>
        </c:ser>
        <c:ser>
          <c:idx val="1"/>
          <c:order val="1"/>
          <c:tx>
            <c:strRef>
              <c:f>'Q5.122'!$D$5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'Q5.122'!$D$6:$D$11</c:f>
              <c:numCache>
                <c:formatCode>General</c:formatCode>
                <c:ptCount val="6"/>
                <c:pt idx="0">
                  <c:v>524</c:v>
                </c:pt>
                <c:pt idx="1">
                  <c:v>22</c:v>
                </c:pt>
                <c:pt idx="2">
                  <c:v>20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F-447E-B1FE-5B1EFA8FE5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15008"/>
        <c:axId val="134345472"/>
      </c:barChart>
      <c:catAx>
        <c:axId val="13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45472"/>
        <c:crosses val="autoZero"/>
        <c:auto val="1"/>
        <c:lblAlgn val="ctr"/>
        <c:lblOffset val="100"/>
        <c:noMultiLvlLbl val="0"/>
      </c:catAx>
      <c:valAx>
        <c:axId val="1343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1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8-42EF-BCBB-0F489B9B70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E8-42EF-BCBB-0F489B9B70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E8-42EF-BCBB-0F489B9B704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'Q5.122'!$D$16:$D$18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E8-42EF-BCBB-0F489B9B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12-4021-9591-998984A49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12-4021-9591-998984A49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12-4021-9591-998984A49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'Q5.122'!$C$22:$C$24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'Q5.122'!$D$22:$D$24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12-4021-9591-998984A49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'Q5.122'!$B$28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'Q5.122'!$C$27:$E$27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'Q5.122'!$C$28:$E$28</c:f>
              <c:numCache>
                <c:formatCode>0.00</c:formatCode>
                <c:ptCount val="3"/>
                <c:pt idx="0">
                  <c:v>10</c:v>
                </c:pt>
                <c:pt idx="1">
                  <c:v>8.8000000000000007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3-41AA-B25C-A4F6525ADF6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4825088"/>
        <c:axId val="134852608"/>
      </c:lineChart>
      <c:catAx>
        <c:axId val="13482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52608"/>
        <c:crosses val="autoZero"/>
        <c:auto val="1"/>
        <c:lblAlgn val="ctr"/>
        <c:lblOffset val="100"/>
        <c:noMultiLvlLbl val="0"/>
      </c:catAx>
      <c:valAx>
        <c:axId val="1348526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82508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'Q5.117BL'!$C$5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'Q5.117BL'!$B$6:$B$8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'Q5.117BL'!$C$6:$C$8</c:f>
              <c:numCache>
                <c:formatCode>General</c:formatCode>
                <c:ptCount val="3"/>
                <c:pt idx="0">
                  <c:v>0</c:v>
                </c:pt>
                <c:pt idx="1">
                  <c:v>90</c:v>
                </c:pt>
                <c:pt idx="2">
                  <c:v>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A-4044-BB9D-4EC191660CC4}"/>
            </c:ext>
          </c:extLst>
        </c:ser>
        <c:ser>
          <c:idx val="1"/>
          <c:order val="1"/>
          <c:tx>
            <c:strRef>
              <c:f>'Q5.117BL'!$D$5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'Q5.117BL'!$B$6:$B$8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'Q5.117BL'!$D$6:$D$8</c:f>
              <c:numCache>
                <c:formatCode>General</c:formatCode>
                <c:ptCount val="3"/>
                <c:pt idx="0">
                  <c:v>0</c:v>
                </c:pt>
                <c:pt idx="1">
                  <c:v>92</c:v>
                </c:pt>
                <c:pt idx="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A-4044-BB9D-4EC191660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874176"/>
        <c:axId val="125875712"/>
      </c:barChart>
      <c:catAx>
        <c:axId val="1258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75712"/>
        <c:crosses val="autoZero"/>
        <c:auto val="1"/>
        <c:lblAlgn val="ctr"/>
        <c:lblOffset val="100"/>
        <c:noMultiLvlLbl val="0"/>
      </c:catAx>
      <c:valAx>
        <c:axId val="12587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'Q5.118'!$C$6:$C$11</c:f>
              <c:numCache>
                <c:formatCode>General</c:formatCode>
                <c:ptCount val="6"/>
                <c:pt idx="0">
                  <c:v>762</c:v>
                </c:pt>
                <c:pt idx="1">
                  <c:v>37</c:v>
                </c:pt>
                <c:pt idx="2">
                  <c:v>29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8-4BEC-8C2E-06B6B7A11C0C}"/>
            </c:ext>
          </c:extLst>
        </c:ser>
        <c:ser>
          <c:idx val="1"/>
          <c:order val="1"/>
          <c:tx>
            <c:strRef>
              <c:f>'Q5.118'!$D$5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'Q5.118'!$D$6:$D$11</c:f>
              <c:numCache>
                <c:formatCode>General</c:formatCode>
                <c:ptCount val="6"/>
                <c:pt idx="0">
                  <c:v>496</c:v>
                </c:pt>
                <c:pt idx="1">
                  <c:v>54</c:v>
                </c:pt>
                <c:pt idx="2">
                  <c:v>19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8-4BEC-8C2E-06B6B7A11C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769280"/>
        <c:axId val="130770816"/>
      </c:barChart>
      <c:catAx>
        <c:axId val="1307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770816"/>
        <c:crosses val="autoZero"/>
        <c:auto val="1"/>
        <c:lblAlgn val="ctr"/>
        <c:lblOffset val="100"/>
        <c:noMultiLvlLbl val="0"/>
      </c:catAx>
      <c:valAx>
        <c:axId val="13077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76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6-4C0B-AB22-74B85FB132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96-4C0B-AB22-74B85FB132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96-4C0B-AB22-74B85FB13253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'Q5.118'!$C$16:$C$18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'Q5.118'!$D$16:$D$18</c:f>
              <c:numCache>
                <c:formatCode>General</c:formatCode>
                <c:ptCount val="3"/>
                <c:pt idx="0">
                  <c:v>1</c:v>
                </c:pt>
                <c:pt idx="1">
                  <c:v>4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96-4C0B-AB22-74B85FB1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5-405F-B534-C1C57ADE73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5-405F-B534-C1C57ADE73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85-405F-B534-C1C57ADE73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'Q5.118'!$C$22:$C$24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'Q5.118'!$D$22:$D$24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85-405F-B534-C1C57ADE7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'Q5.118'!$B$28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'Q5.118'!$C$28:$E$28</c:f>
              <c:numCache>
                <c:formatCode>0.00</c:formatCode>
                <c:ptCount val="3"/>
                <c:pt idx="0">
                  <c:v>10</c:v>
                </c:pt>
                <c:pt idx="1">
                  <c:v>9.0604026845637584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3-4472-AD8E-B43B962B440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209472"/>
        <c:axId val="131224704"/>
      </c:lineChart>
      <c:catAx>
        <c:axId val="1312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24704"/>
        <c:crosses val="autoZero"/>
        <c:auto val="1"/>
        <c:lblAlgn val="ctr"/>
        <c:lblOffset val="100"/>
        <c:noMultiLvlLbl val="0"/>
      </c:catAx>
      <c:valAx>
        <c:axId val="13122470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094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'Q5.119'!$C$6:$C$11</c:f>
              <c:numCache>
                <c:formatCode>General</c:formatCode>
                <c:ptCount val="6"/>
                <c:pt idx="0">
                  <c:v>783</c:v>
                </c:pt>
                <c:pt idx="1">
                  <c:v>24</c:v>
                </c:pt>
                <c:pt idx="2">
                  <c:v>24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B-49E3-97A7-0B9BD6E486E6}"/>
            </c:ext>
          </c:extLst>
        </c:ser>
        <c:ser>
          <c:idx val="1"/>
          <c:order val="1"/>
          <c:tx>
            <c:strRef>
              <c:f>'Q5.119'!$D$5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'Q5.119'!$B$6:$B$11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'Q5.119'!$D$6:$D$11</c:f>
              <c:numCache>
                <c:formatCode>General</c:formatCode>
                <c:ptCount val="6"/>
                <c:pt idx="0">
                  <c:v>506</c:v>
                </c:pt>
                <c:pt idx="1">
                  <c:v>35</c:v>
                </c:pt>
                <c:pt idx="2">
                  <c:v>25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B-49E3-97A7-0B9BD6E486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424256"/>
        <c:axId val="131425792"/>
      </c:barChart>
      <c:catAx>
        <c:axId val="13142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25792"/>
        <c:crosses val="autoZero"/>
        <c:auto val="1"/>
        <c:lblAlgn val="ctr"/>
        <c:lblOffset val="100"/>
        <c:noMultiLvlLbl val="0"/>
      </c:catAx>
      <c:valAx>
        <c:axId val="13142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2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B6BFB6-4B83-43E1-861F-6C1B0D770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C4670F-3F59-4F6E-8270-C53D5F215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590E36DD-B9F5-4C5C-AD68-C7A7AA211B9B}"/>
            </a:ext>
            <a:ext uri="{147F2762-F138-4A5C-976F-8EAC2B608ADB}">
              <a16:predDERef xmlns:a16="http://schemas.microsoft.com/office/drawing/2014/main" pred="{1EC4670F-3F59-4F6E-8270-C53D5F215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BE0AD3A-947E-4318-ACBC-C3949B1A3874}"/>
            </a:ext>
            <a:ext uri="{147F2762-F138-4A5C-976F-8EAC2B608ADB}">
              <a16:predDERef xmlns:a16="http://schemas.microsoft.com/office/drawing/2014/main" pred="{590E36DD-B9F5-4C5C-AD68-C7A7AA211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8357F3D-1B7A-4F18-B37A-471789E2C275}"/>
            </a:ext>
            <a:ext uri="{147F2762-F138-4A5C-976F-8EAC2B608ADB}">
              <a16:predDERef xmlns:a16="http://schemas.microsoft.com/office/drawing/2014/main" pred="{FBE0AD3A-947E-4318-ACBC-C3949B1A3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BCF1FB-9137-4F28-ACE1-4D1F44B4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8AEE488-020E-4552-9D5C-F432A003658B}"/>
            </a:ext>
            <a:ext uri="{147F2762-F138-4A5C-976F-8EAC2B608ADB}">
              <a16:predDERef xmlns:a16="http://schemas.microsoft.com/office/drawing/2014/main" pred="{2CBCF1FB-9137-4F28-ACE1-4D1F44B4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2999D455-BFB6-4E51-828A-FEFA38521F66}"/>
            </a:ext>
            <a:ext uri="{147F2762-F138-4A5C-976F-8EAC2B608ADB}">
              <a16:predDERef xmlns:a16="http://schemas.microsoft.com/office/drawing/2014/main" pred="{38AEE488-020E-4552-9D5C-F432A003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6292F2D9-FF02-4030-A206-953AEA19983B}"/>
            </a:ext>
            <a:ext uri="{147F2762-F138-4A5C-976F-8EAC2B608ADB}">
              <a16:predDERef xmlns:a16="http://schemas.microsoft.com/office/drawing/2014/main" pred="{2999D455-BFB6-4E51-828A-FEFA38521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AD5131-D765-4F13-BF4D-E2ECF5E39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FF7C2B4-EDC7-47D2-9DED-DEED479693CB}"/>
            </a:ext>
            <a:ext uri="{147F2762-F138-4A5C-976F-8EAC2B608ADB}">
              <a16:predDERef xmlns:a16="http://schemas.microsoft.com/office/drawing/2014/main" pred="{4EAD5131-D765-4F13-BF4D-E2ECF5E39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8BDF953E-4065-4C2A-8490-54750C614CEA}"/>
            </a:ext>
            <a:ext uri="{147F2762-F138-4A5C-976F-8EAC2B608ADB}">
              <a16:predDERef xmlns:a16="http://schemas.microsoft.com/office/drawing/2014/main" pred="{4FF7C2B4-EDC7-47D2-9DED-DEED47969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4E9A672-8FDA-44B6-AB65-11BADC9E14DE}"/>
            </a:ext>
            <a:ext uri="{147F2762-F138-4A5C-976F-8EAC2B608ADB}">
              <a16:predDERef xmlns:a16="http://schemas.microsoft.com/office/drawing/2014/main" pred="{8BDF953E-4065-4C2A-8490-54750C614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51ACE9-E610-48A2-8ED1-A2C6F955C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EBBA0DA-DDA8-4CB9-9013-EEBEC2108F75}"/>
            </a:ext>
            <a:ext uri="{147F2762-F138-4A5C-976F-8EAC2B608ADB}">
              <a16:predDERef xmlns:a16="http://schemas.microsoft.com/office/drawing/2014/main" pred="{3F51ACE9-E610-48A2-8ED1-A2C6F955C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4A8B5731-73B5-4A5E-B2D5-717E46470714}"/>
            </a:ext>
            <a:ext uri="{147F2762-F138-4A5C-976F-8EAC2B608ADB}">
              <a16:predDERef xmlns:a16="http://schemas.microsoft.com/office/drawing/2014/main" pred="{2EBBA0DA-DDA8-4CB9-9013-EEBEC2108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D5D08C6C-B6AC-4CDD-B8F8-6DD9EC68C575}"/>
            </a:ext>
            <a:ext uri="{147F2762-F138-4A5C-976F-8EAC2B608ADB}">
              <a16:predDERef xmlns:a16="http://schemas.microsoft.com/office/drawing/2014/main" pred="{4A8B5731-73B5-4A5E-B2D5-717E46470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12AFEB-D646-4FC5-AC49-64C52AD2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362C241C-9B2A-4B53-882D-CBB04C9205AD}"/>
            </a:ext>
            <a:ext uri="{147F2762-F138-4A5C-976F-8EAC2B608ADB}">
              <a16:predDERef xmlns:a16="http://schemas.microsoft.com/office/drawing/2014/main" pred="{A712AFEB-D646-4FC5-AC49-64C52AD2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26059630-8B22-4437-BD79-6B549A1DB0A0}"/>
            </a:ext>
            <a:ext uri="{147F2762-F138-4A5C-976F-8EAC2B608ADB}">
              <a16:predDERef xmlns:a16="http://schemas.microsoft.com/office/drawing/2014/main" pred="{362C241C-9B2A-4B53-882D-CBB04C920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084CAC0-4DD2-4A8D-87A4-A788F924BFDC}"/>
            </a:ext>
            <a:ext uri="{147F2762-F138-4A5C-976F-8EAC2B608ADB}">
              <a16:predDERef xmlns:a16="http://schemas.microsoft.com/office/drawing/2014/main" pred="{26059630-8B22-4437-BD79-6B549A1D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7" totalsRowShown="0" headerRowDxfId="6" dataDxfId="5">
  <autoFilter ref="A1:E7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"/>
  <sheetViews>
    <sheetView showGridLines="0" tabSelected="1" topLeftCell="A19" zoomScale="60" zoomScaleNormal="60" workbookViewId="0">
      <selection activeCell="A24" sqref="A24:E29"/>
    </sheetView>
  </sheetViews>
  <sheetFormatPr defaultRowHeight="15" x14ac:dyDescent="0.2"/>
  <cols>
    <col min="1" max="1" width="9" style="43" customWidth="1"/>
    <col min="2" max="2" width="30.42578125" style="43" customWidth="1"/>
    <col min="3" max="3" width="19.28515625" style="43" customWidth="1"/>
    <col min="4" max="4" width="25.85546875" style="43" customWidth="1"/>
    <col min="5" max="5" width="45" style="43" customWidth="1"/>
    <col min="6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5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4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71" t="s">
        <v>9</v>
      </c>
      <c r="B11" s="71"/>
      <c r="C11" s="71"/>
      <c r="D11" s="71"/>
      <c r="E11" s="71"/>
      <c r="F11" s="71"/>
    </row>
    <row r="12" spans="1:15" x14ac:dyDescent="0.2">
      <c r="A12" s="66"/>
    </row>
    <row r="13" spans="1:15" x14ac:dyDescent="0.2">
      <c r="A13" s="46" t="s">
        <v>10</v>
      </c>
    </row>
    <row r="14" spans="1:15" s="57" customFormat="1" x14ac:dyDescent="0.2">
      <c r="A14" s="55"/>
      <c r="B14" s="73" t="s">
        <v>11</v>
      </c>
      <c r="C14" s="74"/>
      <c r="D14" s="55" t="s">
        <v>12</v>
      </c>
      <c r="E14" s="56" t="s">
        <v>13</v>
      </c>
      <c r="F14" s="51"/>
    </row>
    <row r="15" spans="1:15" x14ac:dyDescent="0.2">
      <c r="A15" s="63" t="s">
        <v>14</v>
      </c>
      <c r="B15" s="75">
        <f>COUNTIF(Resp5[Vínculo],A15)</f>
        <v>833</v>
      </c>
      <c r="C15" s="76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5">
        <f>COUNTIF(Resp5[Vínculo],A16)</f>
        <v>574</v>
      </c>
      <c r="C16" s="76"/>
      <c r="D16" s="58">
        <v>2675</v>
      </c>
      <c r="E16" s="59">
        <f t="shared" ref="E16:E17" si="0">ROUND(B16/$D16*100,3)</f>
        <v>21.457999999999998</v>
      </c>
      <c r="F16" s="53"/>
    </row>
    <row r="17" spans="1:18" x14ac:dyDescent="0.2">
      <c r="A17" s="61" t="s">
        <v>16</v>
      </c>
      <c r="B17" s="75">
        <f>SUM(B15:B16)</f>
        <v>1407</v>
      </c>
      <c r="C17" s="76"/>
      <c r="D17" s="58">
        <f>SUM(D15:D16)</f>
        <v>4694</v>
      </c>
      <c r="E17" s="59">
        <f t="shared" si="0"/>
        <v>29.974</v>
      </c>
      <c r="F17" s="53"/>
    </row>
    <row r="18" spans="1:18" x14ac:dyDescent="0.2">
      <c r="A18" s="54">
        <v>1</v>
      </c>
      <c r="B18" s="72" t="s">
        <v>17</v>
      </c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8" x14ac:dyDescent="0.2">
      <c r="A19" s="54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8" x14ac:dyDescent="0.2">
      <c r="A20" s="54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8" x14ac:dyDescent="0.2">
      <c r="A21" s="43" t="s">
        <v>18</v>
      </c>
    </row>
    <row r="22" spans="1:18" ht="39.75" customHeight="1" x14ac:dyDescent="0.2">
      <c r="A22" s="71" t="s">
        <v>19</v>
      </c>
      <c r="B22" s="71"/>
      <c r="C22" s="71"/>
      <c r="D22" s="71"/>
      <c r="E22" s="71"/>
      <c r="F22" s="71"/>
      <c r="G22" s="71"/>
      <c r="H22" s="71"/>
      <c r="I22" s="71"/>
    </row>
    <row r="24" spans="1:18" ht="15.75" x14ac:dyDescent="0.25">
      <c r="A24" s="87" t="s">
        <v>20</v>
      </c>
      <c r="B24" s="87"/>
      <c r="C24"/>
      <c r="D24" s="88" t="s">
        <v>5</v>
      </c>
      <c r="E24" s="89"/>
      <c r="F24" s="77"/>
      <c r="G24" s="77"/>
      <c r="H24" s="77"/>
      <c r="I24" s="78"/>
      <c r="J24" s="77"/>
      <c r="K24" s="77"/>
      <c r="L24" s="79"/>
      <c r="M24" s="79"/>
      <c r="N24" s="79"/>
      <c r="O24" s="79"/>
      <c r="P24" s="79"/>
      <c r="Q24" s="79"/>
      <c r="R24" s="79"/>
    </row>
    <row r="25" spans="1:18" ht="15.75" x14ac:dyDescent="0.25">
      <c r="A25" s="90" t="s">
        <v>21</v>
      </c>
      <c r="B25" s="90"/>
      <c r="C25"/>
      <c r="D25" s="91" t="s">
        <v>22</v>
      </c>
      <c r="E25" s="91" t="s">
        <v>320</v>
      </c>
      <c r="F25" s="78"/>
      <c r="G25" s="77"/>
      <c r="H25" s="77"/>
      <c r="I25" s="81"/>
      <c r="J25" s="81"/>
      <c r="K25" s="77"/>
      <c r="L25" s="79"/>
      <c r="M25" s="79"/>
      <c r="N25" s="79"/>
      <c r="O25" s="79"/>
      <c r="P25" s="79"/>
      <c r="Q25" s="79"/>
      <c r="R25" s="79"/>
    </row>
    <row r="26" spans="1:18" ht="15.75" x14ac:dyDescent="0.25">
      <c r="A26" s="90" t="s">
        <v>23</v>
      </c>
      <c r="B26" s="90"/>
      <c r="C26"/>
      <c r="D26" s="92" t="s">
        <v>24</v>
      </c>
      <c r="E26" s="93" t="s">
        <v>25</v>
      </c>
      <c r="F26" s="81"/>
      <c r="G26" s="81"/>
      <c r="H26" s="77"/>
      <c r="I26" s="81"/>
      <c r="J26" s="81"/>
      <c r="K26" s="77"/>
      <c r="L26" s="79"/>
      <c r="M26" s="79"/>
      <c r="N26" s="79"/>
      <c r="O26" s="79"/>
      <c r="P26" s="79"/>
      <c r="Q26" s="79"/>
      <c r="R26" s="79"/>
    </row>
    <row r="27" spans="1:18" ht="15.75" x14ac:dyDescent="0.25">
      <c r="A27" s="90" t="s">
        <v>321</v>
      </c>
      <c r="B27" s="90"/>
      <c r="C27"/>
      <c r="D27" s="94" t="s">
        <v>26</v>
      </c>
      <c r="E27" s="95" t="s">
        <v>322</v>
      </c>
      <c r="F27" s="81"/>
      <c r="G27" s="81"/>
      <c r="H27" s="77"/>
      <c r="I27" s="81"/>
      <c r="J27" s="81"/>
      <c r="K27" s="77"/>
      <c r="L27" s="79"/>
      <c r="M27" s="79"/>
      <c r="N27" s="79"/>
      <c r="O27" s="79"/>
      <c r="P27" s="79"/>
      <c r="Q27" s="79"/>
      <c r="R27" s="79"/>
    </row>
    <row r="28" spans="1:18" ht="15.75" x14ac:dyDescent="0.25">
      <c r="A28" s="90" t="s">
        <v>27</v>
      </c>
      <c r="B28" s="90"/>
      <c r="C28" s="96"/>
      <c r="D28" s="96"/>
      <c r="E28" s="97"/>
      <c r="F28" s="81"/>
      <c r="G28" s="81"/>
      <c r="H28" s="77"/>
      <c r="I28" s="81"/>
      <c r="J28" s="81"/>
      <c r="K28" s="77"/>
      <c r="L28" s="79"/>
      <c r="M28" s="79"/>
      <c r="N28" s="79"/>
      <c r="O28" s="79"/>
      <c r="P28" s="79"/>
      <c r="Q28" s="79"/>
      <c r="R28" s="79"/>
    </row>
    <row r="29" spans="1:18" ht="15.75" x14ac:dyDescent="0.25">
      <c r="A29" s="90" t="s">
        <v>28</v>
      </c>
      <c r="B29" s="90"/>
      <c r="C29" s="96"/>
      <c r="D29" s="96"/>
      <c r="E29" s="97"/>
      <c r="F29" s="83"/>
      <c r="G29" s="83"/>
      <c r="H29" s="77"/>
      <c r="I29" s="77"/>
      <c r="J29" s="77"/>
      <c r="K29" s="77"/>
      <c r="L29" s="79"/>
      <c r="M29" s="79"/>
      <c r="N29" s="79"/>
      <c r="O29" s="79"/>
      <c r="P29" s="79"/>
      <c r="Q29" s="79"/>
      <c r="R29" s="79"/>
    </row>
    <row r="30" spans="1:18" ht="15.75" x14ac:dyDescent="0.25">
      <c r="A30" s="77"/>
      <c r="B30" s="82"/>
      <c r="C30" s="83"/>
      <c r="D30" s="83"/>
      <c r="E30" s="83"/>
      <c r="F30" s="83"/>
      <c r="G30" s="83"/>
      <c r="H30" s="77"/>
      <c r="I30" s="78"/>
      <c r="J30" s="77"/>
      <c r="K30" s="77"/>
      <c r="L30" s="79"/>
      <c r="M30" s="79"/>
      <c r="N30" s="79"/>
      <c r="O30" s="79"/>
      <c r="P30" s="79"/>
      <c r="Q30" s="79"/>
      <c r="R30" s="79"/>
    </row>
    <row r="31" spans="1:18" ht="15.75" x14ac:dyDescent="0.25">
      <c r="A31" s="77"/>
      <c r="B31" s="82"/>
      <c r="C31" s="83"/>
      <c r="D31" s="83"/>
      <c r="E31" s="83"/>
      <c r="F31" s="83"/>
      <c r="G31" s="83"/>
      <c r="H31" s="77"/>
      <c r="I31" s="81"/>
      <c r="J31" s="81"/>
      <c r="K31" s="77"/>
      <c r="L31" s="79"/>
      <c r="M31" s="79"/>
      <c r="N31" s="79"/>
      <c r="O31" s="79"/>
      <c r="P31" s="79"/>
      <c r="Q31" s="79"/>
      <c r="R31" s="79"/>
    </row>
    <row r="32" spans="1:18" ht="15.75" x14ac:dyDescent="0.25">
      <c r="A32" s="77"/>
      <c r="B32" s="77"/>
      <c r="C32" s="77"/>
      <c r="D32" s="77"/>
      <c r="E32" s="77"/>
      <c r="F32" s="77"/>
      <c r="G32" s="77"/>
      <c r="H32" s="77"/>
      <c r="I32" s="81"/>
      <c r="J32" s="81"/>
      <c r="K32" s="77"/>
      <c r="L32" s="79"/>
      <c r="M32" s="79"/>
      <c r="N32" s="79"/>
      <c r="O32" s="79"/>
      <c r="P32" s="79"/>
      <c r="Q32" s="79"/>
      <c r="R32" s="79"/>
    </row>
    <row r="33" spans="1:18" ht="15.75" x14ac:dyDescent="0.25">
      <c r="A33" s="77"/>
      <c r="B33" s="77"/>
      <c r="C33" s="84"/>
      <c r="D33" s="84"/>
      <c r="E33" s="77"/>
      <c r="F33" s="77"/>
      <c r="G33" s="77"/>
      <c r="H33" s="77"/>
      <c r="I33" s="77"/>
      <c r="J33" s="77"/>
      <c r="K33" s="77"/>
      <c r="L33" s="79"/>
      <c r="M33" s="79"/>
      <c r="N33" s="79"/>
      <c r="O33" s="79"/>
      <c r="P33" s="79"/>
      <c r="Q33" s="79"/>
      <c r="R33" s="79"/>
    </row>
    <row r="34" spans="1:18" ht="15.75" x14ac:dyDescent="0.25">
      <c r="A34" s="77"/>
      <c r="B34" s="77"/>
      <c r="C34" s="85"/>
      <c r="D34" s="86"/>
      <c r="E34" s="77"/>
      <c r="F34" s="77"/>
      <c r="G34" s="77"/>
      <c r="H34" s="77"/>
      <c r="I34" s="78"/>
      <c r="J34" s="77"/>
      <c r="K34" s="77"/>
      <c r="L34" s="79"/>
      <c r="M34" s="79"/>
      <c r="N34" s="79"/>
      <c r="O34" s="79"/>
      <c r="P34" s="79"/>
      <c r="Q34" s="79"/>
      <c r="R34" s="79"/>
    </row>
    <row r="35" spans="1:18" ht="15.75" x14ac:dyDescent="0.25">
      <c r="A35" s="77"/>
      <c r="B35" s="77"/>
      <c r="C35" s="85"/>
      <c r="D35" s="86"/>
      <c r="E35" s="77"/>
      <c r="F35" s="77"/>
      <c r="G35" s="77"/>
      <c r="H35" s="77"/>
      <c r="I35" s="81"/>
      <c r="J35" s="81"/>
      <c r="K35" s="77"/>
      <c r="L35" s="79"/>
      <c r="M35" s="79"/>
      <c r="N35" s="79"/>
      <c r="O35" s="79"/>
      <c r="P35" s="79"/>
      <c r="Q35" s="79"/>
      <c r="R35" s="79"/>
    </row>
    <row r="36" spans="1:18" ht="15.75" x14ac:dyDescent="0.25">
      <c r="A36" s="77"/>
      <c r="B36" s="77"/>
      <c r="C36" s="85"/>
      <c r="D36" s="80"/>
      <c r="E36" s="77"/>
      <c r="F36" s="77"/>
      <c r="G36" s="77"/>
      <c r="H36" s="77"/>
      <c r="I36" s="81"/>
      <c r="J36" s="81"/>
      <c r="K36" s="77"/>
      <c r="L36" s="79"/>
      <c r="M36" s="79"/>
      <c r="N36" s="79"/>
      <c r="O36" s="79"/>
      <c r="P36" s="79"/>
      <c r="Q36" s="79"/>
      <c r="R36" s="79"/>
    </row>
    <row r="37" spans="1:18" ht="15.75" x14ac:dyDescent="0.25">
      <c r="A37" s="77"/>
      <c r="B37" s="77"/>
      <c r="C37" s="77"/>
      <c r="D37" s="77"/>
      <c r="E37" s="77"/>
      <c r="F37" s="77"/>
      <c r="G37" s="77"/>
      <c r="H37" s="77"/>
      <c r="I37" s="79"/>
      <c r="J37" s="79"/>
      <c r="K37" s="77"/>
      <c r="L37" s="79"/>
      <c r="M37" s="79"/>
      <c r="N37" s="79"/>
      <c r="O37" s="79"/>
      <c r="P37" s="79"/>
      <c r="Q37" s="79"/>
      <c r="R37" s="79"/>
    </row>
    <row r="38" spans="1:18" ht="15.75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9"/>
      <c r="M38" s="79"/>
      <c r="N38" s="79"/>
      <c r="O38" s="79"/>
      <c r="P38" s="79"/>
      <c r="Q38" s="79"/>
      <c r="R38" s="79"/>
    </row>
    <row r="39" spans="1:18" ht="15.75" x14ac:dyDescent="0.25">
      <c r="A39" s="77"/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9"/>
      <c r="M39" s="79"/>
      <c r="N39" s="79"/>
      <c r="O39" s="79"/>
      <c r="P39" s="79"/>
      <c r="Q39" s="79"/>
      <c r="R39" s="79"/>
    </row>
    <row r="40" spans="1:18" ht="15.75" x14ac:dyDescent="0.25">
      <c r="A40" s="77"/>
      <c r="B40" s="77"/>
      <c r="C40" s="77"/>
      <c r="D40" s="77"/>
      <c r="E40" s="77"/>
      <c r="F40" s="77"/>
      <c r="G40" s="77"/>
      <c r="H40" s="77"/>
      <c r="I40" s="81"/>
      <c r="J40" s="81"/>
      <c r="K40" s="77"/>
      <c r="L40" s="79"/>
      <c r="M40" s="79"/>
      <c r="N40" s="79"/>
      <c r="O40" s="79"/>
      <c r="P40" s="79"/>
      <c r="Q40" s="79"/>
      <c r="R40" s="79"/>
    </row>
    <row r="41" spans="1:18" ht="15.75" x14ac:dyDescent="0.25">
      <c r="A41" s="77"/>
      <c r="B41" s="77"/>
      <c r="C41" s="77"/>
      <c r="D41" s="77"/>
      <c r="E41" s="77"/>
      <c r="F41" s="77"/>
      <c r="G41" s="77"/>
      <c r="H41" s="77"/>
      <c r="I41" s="81"/>
      <c r="J41" s="81"/>
      <c r="K41" s="77"/>
      <c r="L41" s="79"/>
      <c r="M41" s="79"/>
      <c r="N41" s="79"/>
      <c r="O41" s="79"/>
      <c r="P41" s="79"/>
      <c r="Q41" s="79"/>
      <c r="R41" s="79"/>
    </row>
    <row r="42" spans="1:18" ht="15.75" x14ac:dyDescent="0.25">
      <c r="A42" s="77"/>
      <c r="B42" s="77"/>
      <c r="C42" s="77"/>
      <c r="D42" s="77"/>
      <c r="E42" s="77"/>
      <c r="F42" s="77"/>
      <c r="G42" s="77"/>
      <c r="H42" s="77"/>
      <c r="I42" s="81"/>
      <c r="J42" s="81"/>
      <c r="K42" s="77"/>
      <c r="L42" s="79"/>
      <c r="M42" s="79"/>
      <c r="N42" s="79"/>
      <c r="O42" s="79"/>
      <c r="P42" s="79"/>
      <c r="Q42" s="79"/>
      <c r="R42" s="79"/>
    </row>
    <row r="43" spans="1:18" ht="15.75" x14ac:dyDescent="0.25">
      <c r="A43" s="62"/>
      <c r="B43" s="62"/>
      <c r="C43" s="62"/>
      <c r="D43" s="62"/>
      <c r="E43" s="62"/>
      <c r="F43" s="62"/>
      <c r="G43" s="62"/>
      <c r="H43" s="62"/>
      <c r="I43" s="69"/>
      <c r="J43" s="69"/>
      <c r="K43" s="62"/>
    </row>
    <row r="44" spans="1:18" ht="15.75" x14ac:dyDescent="0.25">
      <c r="A44" s="62"/>
      <c r="B44" s="62"/>
      <c r="C44" s="62"/>
      <c r="D44" s="62"/>
      <c r="E44" s="62"/>
      <c r="F44" s="62"/>
      <c r="G44" s="62"/>
      <c r="H44" s="62"/>
      <c r="I44" s="68"/>
      <c r="J44" s="68"/>
      <c r="K44" s="62"/>
    </row>
    <row r="45" spans="1:18" ht="15.75" x14ac:dyDescent="0.25">
      <c r="A45" s="62"/>
      <c r="B45" s="62"/>
      <c r="C45" s="62"/>
      <c r="D45" s="62"/>
      <c r="E45" s="62"/>
      <c r="F45" s="62"/>
      <c r="G45" s="62"/>
      <c r="H45" s="62"/>
      <c r="I45" s="67"/>
      <c r="J45" s="68"/>
      <c r="K45" s="62"/>
    </row>
    <row r="46" spans="1:18" ht="15.75" x14ac:dyDescent="0.25">
      <c r="A46" s="62"/>
      <c r="B46" s="62"/>
      <c r="C46" s="62"/>
      <c r="D46" s="62"/>
      <c r="E46" s="62"/>
      <c r="F46" s="62"/>
      <c r="G46" s="62"/>
      <c r="H46" s="62"/>
      <c r="I46" s="69"/>
      <c r="J46" s="69"/>
      <c r="K46" s="62"/>
    </row>
    <row r="47" spans="1:18" ht="15.75" x14ac:dyDescent="0.25">
      <c r="A47" s="62"/>
      <c r="B47" s="62"/>
      <c r="C47" s="62"/>
      <c r="D47" s="62"/>
      <c r="E47" s="62"/>
      <c r="F47" s="62"/>
      <c r="G47" s="62"/>
      <c r="H47" s="62"/>
      <c r="I47" s="69"/>
      <c r="J47" s="69"/>
      <c r="K47" s="62"/>
    </row>
    <row r="48" spans="1:18" ht="15.75" x14ac:dyDescent="0.25">
      <c r="A48" s="62"/>
      <c r="B48" s="62"/>
      <c r="C48" s="62"/>
      <c r="D48" s="62"/>
      <c r="E48" s="62"/>
      <c r="F48" s="62"/>
      <c r="G48" s="62"/>
      <c r="H48" s="62"/>
      <c r="I48" s="69"/>
      <c r="J48" s="69"/>
      <c r="K48" s="62"/>
    </row>
    <row r="49" spans="2:11" ht="15.75" x14ac:dyDescent="0.25">
      <c r="B49" s="62"/>
      <c r="C49" s="62"/>
      <c r="D49" s="62"/>
      <c r="E49" s="62"/>
      <c r="F49" s="62"/>
      <c r="G49" s="62"/>
      <c r="H49" s="62"/>
      <c r="I49" s="70"/>
      <c r="J49" s="70"/>
    </row>
    <row r="50" spans="2:11" ht="15.75" x14ac:dyDescent="0.25">
      <c r="I50" s="67"/>
      <c r="J50" s="70"/>
    </row>
    <row r="51" spans="2:11" ht="15.75" x14ac:dyDescent="0.25">
      <c r="I51" s="68"/>
      <c r="J51" s="68"/>
      <c r="K51" s="62"/>
    </row>
    <row r="52" spans="2:11" x14ac:dyDescent="0.2">
      <c r="I52" s="70"/>
      <c r="J52" s="70"/>
    </row>
    <row r="53" spans="2:11" x14ac:dyDescent="0.2">
      <c r="I53" s="70"/>
      <c r="J53" s="70"/>
    </row>
    <row r="54" spans="2:11" x14ac:dyDescent="0.2">
      <c r="I54" s="70"/>
      <c r="J54" s="70"/>
    </row>
    <row r="55" spans="2:11" x14ac:dyDescent="0.2">
      <c r="I55" s="70"/>
      <c r="J55" s="70"/>
    </row>
    <row r="56" spans="2:11" x14ac:dyDescent="0.2">
      <c r="I56" s="70"/>
      <c r="J56" s="70"/>
    </row>
    <row r="57" spans="2:11" x14ac:dyDescent="0.2">
      <c r="I57" s="70"/>
      <c r="J57" s="70"/>
    </row>
    <row r="58" spans="2:11" x14ac:dyDescent="0.2">
      <c r="I58" s="70"/>
      <c r="J58" s="70"/>
    </row>
    <row r="59" spans="2:11" x14ac:dyDescent="0.2">
      <c r="I59" s="70"/>
      <c r="J59" s="70"/>
    </row>
    <row r="60" spans="2:11" x14ac:dyDescent="0.2">
      <c r="I60" s="70"/>
      <c r="J60" s="70"/>
    </row>
    <row r="61" spans="2:11" x14ac:dyDescent="0.2">
      <c r="I61" s="70"/>
      <c r="J61" s="70"/>
    </row>
    <row r="62" spans="2:11" x14ac:dyDescent="0.2">
      <c r="I62" s="70"/>
      <c r="J62" s="70"/>
    </row>
    <row r="63" spans="2:11" x14ac:dyDescent="0.2">
      <c r="I63" s="70"/>
      <c r="J63" s="70"/>
    </row>
    <row r="64" spans="2:11" x14ac:dyDescent="0.2">
      <c r="I64" s="70"/>
      <c r="J64" s="70"/>
    </row>
    <row r="65" spans="9:10" x14ac:dyDescent="0.2">
      <c r="I65" s="70"/>
      <c r="J65" s="70"/>
    </row>
    <row r="66" spans="9:10" x14ac:dyDescent="0.2">
      <c r="I66" s="70"/>
      <c r="J66" s="70"/>
    </row>
    <row r="67" spans="9:10" x14ac:dyDescent="0.2">
      <c r="I67" s="70"/>
      <c r="J67" s="70"/>
    </row>
    <row r="68" spans="9:10" x14ac:dyDescent="0.2">
      <c r="I68" s="70"/>
      <c r="J68" s="70"/>
    </row>
    <row r="69" spans="9:10" x14ac:dyDescent="0.2">
      <c r="I69" s="70"/>
      <c r="J69" s="70"/>
    </row>
    <row r="70" spans="9:10" x14ac:dyDescent="0.2">
      <c r="I70" s="70"/>
      <c r="J70" s="70"/>
    </row>
    <row r="71" spans="9:10" x14ac:dyDescent="0.2">
      <c r="I71" s="70"/>
      <c r="J71" s="70"/>
    </row>
    <row r="72" spans="9:10" x14ac:dyDescent="0.2">
      <c r="I72" s="70"/>
      <c r="J72" s="70"/>
    </row>
    <row r="73" spans="9:10" x14ac:dyDescent="0.2">
      <c r="I73" s="70"/>
      <c r="J73" s="70"/>
    </row>
    <row r="74" spans="9:10" x14ac:dyDescent="0.2">
      <c r="I74" s="70"/>
      <c r="J74" s="70"/>
    </row>
    <row r="75" spans="9:10" x14ac:dyDescent="0.2">
      <c r="I75" s="70"/>
      <c r="J75" s="70"/>
    </row>
    <row r="76" spans="9:10" x14ac:dyDescent="0.2">
      <c r="I76" s="70"/>
      <c r="J76" s="70"/>
    </row>
    <row r="77" spans="9:10" x14ac:dyDescent="0.2">
      <c r="I77" s="70"/>
      <c r="J77" s="70"/>
    </row>
    <row r="78" spans="9:10" x14ac:dyDescent="0.2">
      <c r="I78" s="70"/>
      <c r="J78" s="70"/>
    </row>
    <row r="79" spans="9:10" x14ac:dyDescent="0.2">
      <c r="I79" s="70"/>
      <c r="J79" s="70"/>
    </row>
    <row r="80" spans="9:10" x14ac:dyDescent="0.2">
      <c r="I80" s="70"/>
      <c r="J80" s="70"/>
    </row>
    <row r="81" spans="9:10" x14ac:dyDescent="0.2">
      <c r="I81" s="70"/>
      <c r="J81" s="70"/>
    </row>
    <row r="82" spans="9:10" x14ac:dyDescent="0.2">
      <c r="I82" s="70"/>
      <c r="J82" s="70"/>
    </row>
    <row r="83" spans="9:10" x14ac:dyDescent="0.2">
      <c r="I83" s="70"/>
      <c r="J83" s="70"/>
    </row>
    <row r="84" spans="9:10" x14ac:dyDescent="0.2">
      <c r="I84" s="70"/>
      <c r="J84" s="70"/>
    </row>
    <row r="85" spans="9:10" x14ac:dyDescent="0.2">
      <c r="I85" s="70"/>
      <c r="J85" s="70"/>
    </row>
    <row r="86" spans="9:10" x14ac:dyDescent="0.2">
      <c r="I86" s="70"/>
      <c r="J86" s="70"/>
    </row>
    <row r="87" spans="9:10" x14ac:dyDescent="0.2">
      <c r="I87" s="70"/>
      <c r="J87" s="70"/>
    </row>
    <row r="88" spans="9:10" x14ac:dyDescent="0.2">
      <c r="I88" s="70"/>
      <c r="J88" s="70"/>
    </row>
    <row r="89" spans="9:10" x14ac:dyDescent="0.2">
      <c r="I89" s="70"/>
      <c r="J89" s="70"/>
    </row>
    <row r="90" spans="9:10" x14ac:dyDescent="0.2">
      <c r="I90" s="70"/>
      <c r="J90" s="70"/>
    </row>
    <row r="91" spans="9:10" x14ac:dyDescent="0.2">
      <c r="I91" s="70"/>
      <c r="J91" s="70"/>
    </row>
    <row r="92" spans="9:10" x14ac:dyDescent="0.2">
      <c r="I92" s="70"/>
      <c r="J92" s="70"/>
    </row>
    <row r="93" spans="9:10" x14ac:dyDescent="0.2">
      <c r="I93" s="70"/>
      <c r="J93" s="70"/>
    </row>
    <row r="94" spans="9:10" x14ac:dyDescent="0.2">
      <c r="I94" s="70"/>
      <c r="J94" s="70"/>
    </row>
    <row r="95" spans="9:10" x14ac:dyDescent="0.2">
      <c r="I95" s="70"/>
      <c r="J95" s="70"/>
    </row>
    <row r="96" spans="9:10" x14ac:dyDescent="0.2">
      <c r="I96" s="70"/>
      <c r="J96" s="70"/>
    </row>
    <row r="97" spans="9:10" x14ac:dyDescent="0.2">
      <c r="I97" s="70"/>
      <c r="J97" s="70"/>
    </row>
    <row r="98" spans="9:10" x14ac:dyDescent="0.2">
      <c r="I98" s="70"/>
      <c r="J98" s="70"/>
    </row>
    <row r="99" spans="9:10" x14ac:dyDescent="0.2">
      <c r="I99" s="70"/>
      <c r="J99" s="70"/>
    </row>
    <row r="100" spans="9:10" x14ac:dyDescent="0.2">
      <c r="I100" s="70"/>
      <c r="J100" s="70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5122</v>
      </c>
      <c r="B1" s="8"/>
      <c r="C1" s="8"/>
    </row>
    <row r="2" spans="1:13" ht="15" x14ac:dyDescent="0.25">
      <c r="A2" s="8" t="str">
        <f>TEXT(A1,"0.000")</f>
        <v>5.122</v>
      </c>
      <c r="B2" s="8" t="str">
        <f>VLOOKUP(A$2, Eixo5[], 3, FALSE)</f>
        <v>Avalie os serviços prestados pelas unidades do Setor de Ciências Biológicas que você utilizou em 2021: [Laboratórios, Clínicas, Oficinas, Ateliês e/ou equivalentes]</v>
      </c>
    </row>
    <row r="3" spans="1:13" ht="15" x14ac:dyDescent="0.25">
      <c r="A3" s="8" t="s">
        <v>300</v>
      </c>
      <c r="B3" s="8" t="str">
        <f>VLOOKUP(A$2, Eixo5[], 4, FALSE)</f>
        <v>Eixo 5: questão 122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783</v>
      </c>
      <c r="D6" s="8">
        <f>COUNTIF(Resp5[],"docente")-SUM(D$7:D$11)</f>
        <v>524</v>
      </c>
      <c r="E6" s="11">
        <f>E12-SUM(E7:E11)</f>
        <v>1307</v>
      </c>
      <c r="F6" s="13">
        <f>ROUND($E6/E$12*100,2)</f>
        <v>92.89</v>
      </c>
      <c r="G6" s="13"/>
      <c r="J6" s="28"/>
    </row>
    <row r="7" spans="1:13" ht="15" x14ac:dyDescent="0.25">
      <c r="B7" s="8" t="s">
        <v>244</v>
      </c>
      <c r="C7" s="11">
        <f>COUNTIFS(Resp5[Vínculo],"tecnico",Resp5[5.122],B7)</f>
        <v>34</v>
      </c>
      <c r="D7" s="11">
        <f>COUNTIFS(Resp5[Vínculo],"docente",Resp5[5.122],B7)</f>
        <v>22</v>
      </c>
      <c r="E7" s="11">
        <f>COUNTIF(Resp5[5.122],B7)</f>
        <v>56</v>
      </c>
      <c r="F7" s="13">
        <f t="shared" ref="F7:F11" si="0">ROUND($E7/E$12*100,2)</f>
        <v>3.98</v>
      </c>
      <c r="G7" s="13">
        <f>ROUND($E7/SUM($E$7:$E$11)*100,3)</f>
        <v>56</v>
      </c>
      <c r="H7">
        <f>E7*10</f>
        <v>560</v>
      </c>
      <c r="J7" s="13">
        <f>E11/SUM(E7:E11)</f>
        <v>0.02</v>
      </c>
      <c r="M7" s="16"/>
    </row>
    <row r="8" spans="1:13" ht="15" x14ac:dyDescent="0.25">
      <c r="B8" s="8" t="s">
        <v>239</v>
      </c>
      <c r="C8" s="11">
        <f>COUNTIFS(Resp5[Vínculo],"tecnico",Resp5[5.122],B8)</f>
        <v>14</v>
      </c>
      <c r="D8" s="11">
        <f>COUNTIFS(Resp5[Vínculo],"docente",Resp5[5.122],B8)</f>
        <v>20</v>
      </c>
      <c r="E8" s="11">
        <f>COUNTIF(Resp5[5.122],B8)</f>
        <v>34</v>
      </c>
      <c r="F8" s="13">
        <f t="shared" si="0"/>
        <v>2.42</v>
      </c>
      <c r="G8" s="13">
        <f>ROUND($E8/SUM($E$7:$E$11)*100,3)</f>
        <v>34</v>
      </c>
      <c r="H8">
        <f>E8*8</f>
        <v>272</v>
      </c>
      <c r="J8" s="13">
        <f>(E11+E10)/SUM(E7:E11)</f>
        <v>0.04</v>
      </c>
      <c r="M8" s="16"/>
    </row>
    <row r="9" spans="1:13" ht="15" x14ac:dyDescent="0.25">
      <c r="B9" s="8" t="s">
        <v>237</v>
      </c>
      <c r="C9" s="11">
        <f>COUNTIFS(Resp5[Vínculo],"tecnico",Resp5[5.122],B9)</f>
        <v>2</v>
      </c>
      <c r="D9" s="11">
        <f>COUNTIFS(Resp5[Vínculo],"docente",Resp5[5.122],B9)</f>
        <v>4</v>
      </c>
      <c r="E9" s="11">
        <f>COUNTIF(Resp5[5.122],B9)</f>
        <v>6</v>
      </c>
      <c r="F9" s="13">
        <f t="shared" si="0"/>
        <v>0.43</v>
      </c>
      <c r="G9" s="13">
        <f>ROUND($E9/SUM($E$7:$E$11)*100,3)</f>
        <v>6</v>
      </c>
      <c r="H9">
        <f>E9*6</f>
        <v>36</v>
      </c>
      <c r="J9" s="13">
        <f>(E11+E10+E9)/SUM(E7:E11)</f>
        <v>0.1</v>
      </c>
      <c r="M9" s="16"/>
    </row>
    <row r="10" spans="1:13" ht="15" x14ac:dyDescent="0.25">
      <c r="B10" s="8" t="s">
        <v>242</v>
      </c>
      <c r="C10" s="11">
        <f>COUNTIFS(Resp5[Vínculo],"tecnico",Resp5[5.122],B10)</f>
        <v>0</v>
      </c>
      <c r="D10" s="11">
        <f>COUNTIFS(Resp5[Vínculo],"docente",Resp5[5.122],B10)</f>
        <v>2</v>
      </c>
      <c r="E10" s="11">
        <f>COUNTIF(Resp5[5.122],B10)</f>
        <v>2</v>
      </c>
      <c r="F10" s="13">
        <f t="shared" si="0"/>
        <v>0.14000000000000001</v>
      </c>
      <c r="G10" s="13">
        <f>ROUND($E10/SUM($E$7:$E$11)*100,3)</f>
        <v>2</v>
      </c>
      <c r="H10">
        <f>E10*4</f>
        <v>8</v>
      </c>
      <c r="J10" s="13">
        <f>(E11+E10+E9+E8)/SUM(E7:E11)</f>
        <v>0.44</v>
      </c>
      <c r="M10" s="16"/>
    </row>
    <row r="11" spans="1:13" ht="15" x14ac:dyDescent="0.25">
      <c r="B11" s="15" t="s">
        <v>241</v>
      </c>
      <c r="C11" s="11">
        <f>COUNTIFS(Resp5[Vínculo],"tecnico",Resp5[5.122],B11)</f>
        <v>0</v>
      </c>
      <c r="D11" s="11">
        <f>COUNTIFS(Resp5[Vínculo],"docente",Resp5[5.122],B11)</f>
        <v>2</v>
      </c>
      <c r="E11" s="11">
        <f>COUNTIF(Resp5[5.122],B11)</f>
        <v>2</v>
      </c>
      <c r="F11" s="39">
        <f t="shared" si="0"/>
        <v>0.14000000000000001</v>
      </c>
      <c r="G11" s="13">
        <f>ROUND($E11/SUM($E$7:$E$11)*100,3)</f>
        <v>2</v>
      </c>
      <c r="H11">
        <f>E11*2</f>
        <v>4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8.8000000000000007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315</v>
      </c>
      <c r="C17" s="35" t="s">
        <v>24</v>
      </c>
      <c r="D17" s="17">
        <f>C9</f>
        <v>2</v>
      </c>
      <c r="E17" s="18">
        <f>ROUND(D17/SUM(D$16:D$18)*100,3)</f>
        <v>4</v>
      </c>
    </row>
    <row r="18" spans="2:5" ht="15" x14ac:dyDescent="0.25">
      <c r="B18" s="38" t="s">
        <v>316</v>
      </c>
      <c r="C18" s="38" t="s">
        <v>26</v>
      </c>
      <c r="D18" s="25">
        <f>SUM(C7:C8)</f>
        <v>48</v>
      </c>
      <c r="E18" s="26">
        <f>ROUND(D18/SUM(D$16:D$18)*100,3)</f>
        <v>96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4</v>
      </c>
      <c r="E22" s="18">
        <f>ROUND(D22/SUM(D$22:D$24)*100,3)</f>
        <v>8</v>
      </c>
    </row>
    <row r="23" spans="2:5" ht="15" x14ac:dyDescent="0.25">
      <c r="B23" s="35" t="s">
        <v>315</v>
      </c>
      <c r="C23" s="35" t="s">
        <v>24</v>
      </c>
      <c r="D23" s="17">
        <f>D9</f>
        <v>4</v>
      </c>
      <c r="E23" s="18">
        <f>ROUND(D23/SUM(D$22:D$24)*100,3)</f>
        <v>8</v>
      </c>
    </row>
    <row r="24" spans="2:5" ht="15" x14ac:dyDescent="0.25">
      <c r="B24" s="38" t="s">
        <v>316</v>
      </c>
      <c r="C24" s="38" t="s">
        <v>26</v>
      </c>
      <c r="D24" s="25">
        <f>SUM(D7:D8)</f>
        <v>42</v>
      </c>
      <c r="E24" s="26">
        <f>ROUND(D24/SUM(D$22:D$24)*100,3)</f>
        <v>84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8.8000000000000007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zoomScaleNormal="100" workbookViewId="0">
      <selection activeCell="C16" sqref="C16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147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148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149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150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151</v>
      </c>
      <c r="B6" s="1" t="s">
        <v>4</v>
      </c>
      <c r="C6" s="1" t="s">
        <v>296</v>
      </c>
      <c r="D6" s="5" t="s">
        <v>297</v>
      </c>
      <c r="E6" s="6"/>
    </row>
    <row r="7" spans="1:5" ht="15" x14ac:dyDescent="0.25">
      <c r="A7" t="s">
        <v>152</v>
      </c>
      <c r="B7" s="1" t="s">
        <v>4</v>
      </c>
      <c r="C7" s="1" t="s">
        <v>298</v>
      </c>
      <c r="D7" s="5" t="s">
        <v>299</v>
      </c>
      <c r="E7" s="6"/>
    </row>
  </sheetData>
  <pageMargins left="0.7" right="0.7" top="0.75" bottom="0.75" header="0.3" footer="0.3"/>
  <ignoredErrors>
    <ignoredError sqref="A2 A3:A7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300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307</v>
      </c>
      <c r="B6" s="8" t="s">
        <v>308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309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310</v>
      </c>
      <c r="C15" s="20" t="s">
        <v>311</v>
      </c>
      <c r="D15" s="9" t="s">
        <v>302</v>
      </c>
      <c r="E15" s="10" t="s">
        <v>305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312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313</v>
      </c>
      <c r="C17" s="34" t="s">
        <v>314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315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316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310</v>
      </c>
      <c r="C22" s="20" t="s">
        <v>311</v>
      </c>
      <c r="D22" s="9" t="s">
        <v>303</v>
      </c>
      <c r="E22" s="10" t="s">
        <v>305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312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313</v>
      </c>
      <c r="C24" s="37" t="s">
        <v>314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315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316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317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G18" sqref="G18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5117</v>
      </c>
      <c r="B1" s="8"/>
    </row>
    <row r="2" spans="1:7" ht="15" x14ac:dyDescent="0.25">
      <c r="A2" s="8" t="str">
        <f>TEXT(A1,"0.000")</f>
        <v>5.117</v>
      </c>
      <c r="B2" s="8" t="str">
        <f>VLOOKUP(A$2, Eixo5[], 3, FALSE)</f>
        <v>Você utilizou as unidades e/ou serviços do Setor de Ciências Biológicas em 2021?</v>
      </c>
    </row>
    <row r="3" spans="1:7" ht="15" x14ac:dyDescent="0.25">
      <c r="A3" s="8" t="s">
        <v>300</v>
      </c>
      <c r="B3" s="8" t="str">
        <f>VLOOKUP(A$2, Eixo5[], 4, FALSE)</f>
        <v>Eixo 5: questão 117</v>
      </c>
    </row>
    <row r="5" spans="1:7" ht="15" x14ac:dyDescent="0.25">
      <c r="B5" s="9" t="s">
        <v>301</v>
      </c>
      <c r="C5" s="9" t="s">
        <v>318</v>
      </c>
      <c r="D5" s="9" t="s">
        <v>303</v>
      </c>
      <c r="E5" s="9" t="s">
        <v>304</v>
      </c>
      <c r="F5" s="10" t="s">
        <v>305</v>
      </c>
      <c r="G5" s="9" t="s">
        <v>306</v>
      </c>
    </row>
    <row r="6" spans="1:7" ht="15" x14ac:dyDescent="0.25">
      <c r="B6" s="8" t="s">
        <v>319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COUNTIFS(Resp5[Vínculo],"tecnico",Resp5[5.117],B7)</f>
        <v>90</v>
      </c>
      <c r="D7" s="11">
        <f>COUNTIFS(Resp5[Vínculo],"docente",Resp5[5.117],B7)</f>
        <v>92</v>
      </c>
      <c r="E7" s="8">
        <f>COUNTIF(Resp5[5.117],B7)</f>
        <v>182</v>
      </c>
      <c r="F7" s="11">
        <f t="shared" ref="F7:F8" si="0">ROUND($E7/E$9*100,2)</f>
        <v>12.94</v>
      </c>
      <c r="G7" s="11">
        <f>ROUND($E7/SUM($E$7:$E$8)*100,2)</f>
        <v>12.94</v>
      </c>
    </row>
    <row r="8" spans="1:7" ht="15" x14ac:dyDescent="0.25">
      <c r="B8" s="8" t="s">
        <v>235</v>
      </c>
      <c r="C8" s="11">
        <f>COUNTIFS(Resp5[Vínculo],"tecnico",Resp5[5.117],B8)</f>
        <v>743</v>
      </c>
      <c r="D8" s="11">
        <f>COUNTIFS(Resp5[Vínculo],"docente",Resp5[5.117],B8)</f>
        <v>482</v>
      </c>
      <c r="E8" s="8">
        <f>COUNTIF(Resp5[5.117],B8)</f>
        <v>1225</v>
      </c>
      <c r="F8" s="40">
        <f t="shared" si="0"/>
        <v>87.06</v>
      </c>
      <c r="G8" s="11">
        <f>ROUND($E8/SUM($E$7:$E$8)*100,2)</f>
        <v>87.06</v>
      </c>
    </row>
    <row r="9" spans="1:7" ht="15" x14ac:dyDescent="0.25">
      <c r="B9" s="12" t="s">
        <v>309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5118</v>
      </c>
      <c r="B1" s="8"/>
      <c r="C1" s="8"/>
    </row>
    <row r="2" spans="1:13" ht="15" x14ac:dyDescent="0.25">
      <c r="A2" s="8" t="str">
        <f>TEXT(A1,"0.000")</f>
        <v>5.118</v>
      </c>
      <c r="B2" s="8" t="str">
        <f>VLOOKUP(A$2, Eixo5[], 3, FALSE)</f>
        <v>Avalie os serviços prestados pelas unidades do Setor de Ciências Biológicas que você utilizou em 2021: [Direção: Secretaria, Administrativo, Financeiro]</v>
      </c>
    </row>
    <row r="3" spans="1:13" ht="15" x14ac:dyDescent="0.25">
      <c r="A3" s="8" t="s">
        <v>300</v>
      </c>
      <c r="B3" s="8" t="str">
        <f>VLOOKUP(A$2, Eixo5[], 4, FALSE)</f>
        <v>Eixo 5: questão 118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762</v>
      </c>
      <c r="D6" s="8">
        <f>COUNTIF(Resp5[],"docente")-SUM(D$7:D$11)</f>
        <v>496</v>
      </c>
      <c r="E6" s="11">
        <f>E12-SUM(E7:E11)</f>
        <v>1258</v>
      </c>
      <c r="F6" s="13">
        <f>ROUND($E6/E$12*100,2)</f>
        <v>89.41</v>
      </c>
      <c r="G6" s="13"/>
      <c r="J6" s="28"/>
    </row>
    <row r="7" spans="1:13" ht="15" x14ac:dyDescent="0.25">
      <c r="B7" s="8" t="s">
        <v>244</v>
      </c>
      <c r="C7" s="11">
        <f>COUNTIFS(Resp5[Vínculo],"tecnico",Resp5[5.118],B7)</f>
        <v>37</v>
      </c>
      <c r="D7" s="11">
        <f>COUNTIFS(Resp5[Vínculo],"docente",Resp5[5.118],B7)</f>
        <v>54</v>
      </c>
      <c r="E7" s="11">
        <f>COUNTIF(Resp5[5.118],B7)</f>
        <v>91</v>
      </c>
      <c r="F7" s="13">
        <f t="shared" ref="F7:F11" si="0">ROUND($E7/E$12*100,2)</f>
        <v>6.47</v>
      </c>
      <c r="G7" s="13">
        <f>ROUND($E7/SUM($E$7:$E$11)*100,3)</f>
        <v>61.073999999999998</v>
      </c>
      <c r="H7">
        <f>E7*10</f>
        <v>910</v>
      </c>
      <c r="J7" s="13">
        <f>E11/SUM(E7:E11)</f>
        <v>6.7114093959731542E-3</v>
      </c>
      <c r="M7" s="16"/>
    </row>
    <row r="8" spans="1:13" ht="15" x14ac:dyDescent="0.25">
      <c r="B8" s="8" t="s">
        <v>239</v>
      </c>
      <c r="C8" s="11">
        <f>COUNTIFS(Resp5[Vínculo],"tecnico",Resp5[5.118],B8)</f>
        <v>29</v>
      </c>
      <c r="D8" s="11">
        <f>COUNTIFS(Resp5[Vínculo],"docente",Resp5[5.118],B8)</f>
        <v>19</v>
      </c>
      <c r="E8" s="11">
        <f>COUNTIF(Resp5[5.118],B8)</f>
        <v>48</v>
      </c>
      <c r="F8" s="13">
        <f t="shared" si="0"/>
        <v>3.41</v>
      </c>
      <c r="G8" s="13">
        <f>ROUND($E8/SUM($E$7:$E$11)*100,3)</f>
        <v>32.215000000000003</v>
      </c>
      <c r="H8">
        <f>E8*8</f>
        <v>384</v>
      </c>
      <c r="J8" s="13">
        <f>(E11+E10)/SUM(E7:E11)</f>
        <v>6.7114093959731542E-3</v>
      </c>
      <c r="M8" s="16"/>
    </row>
    <row r="9" spans="1:13" ht="15" x14ac:dyDescent="0.25">
      <c r="B9" s="8" t="s">
        <v>237</v>
      </c>
      <c r="C9" s="11">
        <f>COUNTIFS(Resp5[Vínculo],"tecnico",Resp5[5.118],B9)</f>
        <v>4</v>
      </c>
      <c r="D9" s="11">
        <f>COUNTIFS(Resp5[Vínculo],"docente",Resp5[5.118],B9)</f>
        <v>5</v>
      </c>
      <c r="E9" s="11">
        <f>COUNTIF(Resp5[5.118],B9)</f>
        <v>9</v>
      </c>
      <c r="F9" s="13">
        <f t="shared" si="0"/>
        <v>0.64</v>
      </c>
      <c r="G9" s="13">
        <f>ROUND($E9/SUM($E$7:$E$11)*100,3)</f>
        <v>6.04</v>
      </c>
      <c r="H9">
        <f>E9*6</f>
        <v>54</v>
      </c>
      <c r="J9" s="13">
        <f>(E11+E10+E9)/SUM(E7:E11)</f>
        <v>6.7114093959731544E-2</v>
      </c>
      <c r="M9" s="16"/>
    </row>
    <row r="10" spans="1:13" ht="15" x14ac:dyDescent="0.25">
      <c r="B10" s="8" t="s">
        <v>242</v>
      </c>
      <c r="C10" s="11">
        <f>COUNTIFS(Resp5[Vínculo],"tecnico",Resp5[5.118],B10)</f>
        <v>0</v>
      </c>
      <c r="D10" s="11">
        <f>COUNTIFS(Resp5[Vínculo],"docente",Resp5[5.118],B10)</f>
        <v>0</v>
      </c>
      <c r="E10" s="11">
        <f>COUNTIF(Resp5[5.118],B10)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0.38926174496644295</v>
      </c>
      <c r="M10" s="16"/>
    </row>
    <row r="11" spans="1:13" ht="15" x14ac:dyDescent="0.25">
      <c r="B11" s="15" t="s">
        <v>241</v>
      </c>
      <c r="C11" s="11">
        <f>COUNTIFS(Resp5[Vínculo],"tecnico",Resp5[5.118],B11)</f>
        <v>1</v>
      </c>
      <c r="D11" s="11">
        <f>COUNTIFS(Resp5[Vínculo],"docente",Resp5[5.118],B11)</f>
        <v>0</v>
      </c>
      <c r="E11" s="11">
        <f>COUNTIF(Resp5[5.118],B11)</f>
        <v>1</v>
      </c>
      <c r="F11" s="39">
        <f t="shared" si="0"/>
        <v>7.0000000000000007E-2</v>
      </c>
      <c r="G11" s="13">
        <f>ROUND($E11/SUM($E$7:$E$11)*100,3)</f>
        <v>0.67100000000000004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100.00000000000001</v>
      </c>
      <c r="H12">
        <f>SUM(H7:H11)/SUM(E7:E11)</f>
        <v>9.0604026845637584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1.4079999999999999</v>
      </c>
    </row>
    <row r="17" spans="2:5" ht="15" x14ac:dyDescent="0.25">
      <c r="B17" s="35" t="s">
        <v>315</v>
      </c>
      <c r="C17" s="35" t="s">
        <v>24</v>
      </c>
      <c r="D17" s="17">
        <f>C9</f>
        <v>4</v>
      </c>
      <c r="E17" s="18">
        <f>ROUND(D17/SUM(D$16:D$18)*100,3)</f>
        <v>5.6340000000000003</v>
      </c>
    </row>
    <row r="18" spans="2:5" ht="15" x14ac:dyDescent="0.25">
      <c r="B18" s="38" t="s">
        <v>316</v>
      </c>
      <c r="C18" s="38" t="s">
        <v>26</v>
      </c>
      <c r="D18" s="25">
        <f>SUM(C7:C8)</f>
        <v>66</v>
      </c>
      <c r="E18" s="26">
        <f>ROUND(D18/SUM(D$16:D$18)*100,3)</f>
        <v>92.957999999999998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315</v>
      </c>
      <c r="C23" s="35" t="s">
        <v>24</v>
      </c>
      <c r="D23" s="17">
        <f>D9</f>
        <v>5</v>
      </c>
      <c r="E23" s="18">
        <f>ROUND(D23/SUM(D$22:D$24)*100,3)</f>
        <v>6.41</v>
      </c>
    </row>
    <row r="24" spans="2:5" ht="15" x14ac:dyDescent="0.25">
      <c r="B24" s="38" t="s">
        <v>316</v>
      </c>
      <c r="C24" s="38" t="s">
        <v>26</v>
      </c>
      <c r="D24" s="25">
        <f>SUM(D7:D8)</f>
        <v>73</v>
      </c>
      <c r="E24" s="26">
        <f>ROUND(D24/SUM(D$22:D$24)*100,3)</f>
        <v>93.59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9.0604026845637584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5119</v>
      </c>
      <c r="B1" s="8"/>
      <c r="C1" s="8"/>
    </row>
    <row r="2" spans="1:13" ht="15" x14ac:dyDescent="0.25">
      <c r="A2" s="8" t="str">
        <f>TEXT(A1,"0.000")</f>
        <v>5.119</v>
      </c>
      <c r="B2" s="8" t="str">
        <f>VLOOKUP(A$2, Eixo5[], 3, FALSE)</f>
        <v>Avalie os serviços prestados pelas unidades do Setor de Ciências Biológicas que você utilizou em 2021: [Secretarias das Coordenações de Cursos de Graduação]</v>
      </c>
    </row>
    <row r="3" spans="1:13" ht="15" x14ac:dyDescent="0.25">
      <c r="A3" s="8" t="s">
        <v>300</v>
      </c>
      <c r="B3" s="8" t="str">
        <f>VLOOKUP(A$2, Eixo5[], 4, FALSE)</f>
        <v>Eixo 5: questão 119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783</v>
      </c>
      <c r="D6" s="8">
        <f>COUNTIF(Resp5[],"docente")-SUM(D$7:D$11)</f>
        <v>506</v>
      </c>
      <c r="E6" s="11">
        <f>E12-SUM(E7:E11)</f>
        <v>1289</v>
      </c>
      <c r="F6" s="13">
        <f>ROUND($E6/E$12*100,2)</f>
        <v>91.61</v>
      </c>
      <c r="G6" s="13"/>
      <c r="J6" s="28"/>
    </row>
    <row r="7" spans="1:13" ht="15" x14ac:dyDescent="0.25">
      <c r="B7" s="8" t="s">
        <v>244</v>
      </c>
      <c r="C7" s="11">
        <f>COUNTIFS(Resp5[Vínculo],"tecnico",Resp5[5.119],B7)</f>
        <v>24</v>
      </c>
      <c r="D7" s="11">
        <f>COUNTIFS(Resp5[Vínculo],"docente",Resp5[5.119],B7)</f>
        <v>35</v>
      </c>
      <c r="E7" s="11">
        <f>COUNTIF(Resp5[5.119],B7)</f>
        <v>59</v>
      </c>
      <c r="F7" s="13">
        <f t="shared" ref="F7:F11" si="0">ROUND($E7/E$12*100,2)</f>
        <v>4.1900000000000004</v>
      </c>
      <c r="G7" s="13">
        <f>ROUND($E7/SUM($E$7:$E$11)*100,3)</f>
        <v>50</v>
      </c>
      <c r="H7">
        <f>E7*10</f>
        <v>590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COUNTIFS(Resp5[Vínculo],"tecnico",Resp5[5.119],B8)</f>
        <v>24</v>
      </c>
      <c r="D8" s="11">
        <f>COUNTIFS(Resp5[Vínculo],"docente",Resp5[5.119],B8)</f>
        <v>25</v>
      </c>
      <c r="E8" s="11">
        <f>COUNTIF(Resp5[5.119],B8)</f>
        <v>49</v>
      </c>
      <c r="F8" s="13">
        <f t="shared" si="0"/>
        <v>3.48</v>
      </c>
      <c r="G8" s="13">
        <f>ROUND($E8/SUM($E$7:$E$11)*100,3)</f>
        <v>41.524999999999999</v>
      </c>
      <c r="H8">
        <f>E8*8</f>
        <v>392</v>
      </c>
      <c r="J8" s="13">
        <f>(E11+E10)/SUM(E7:E11)</f>
        <v>2.5423728813559324E-2</v>
      </c>
      <c r="M8" s="16"/>
    </row>
    <row r="9" spans="1:13" ht="15" x14ac:dyDescent="0.25">
      <c r="B9" s="8" t="s">
        <v>237</v>
      </c>
      <c r="C9" s="11">
        <f>COUNTIFS(Resp5[Vínculo],"tecnico",Resp5[5.119],B9)</f>
        <v>1</v>
      </c>
      <c r="D9" s="11">
        <f>COUNTIFS(Resp5[Vínculo],"docente",Resp5[5.119],B9)</f>
        <v>6</v>
      </c>
      <c r="E9" s="11">
        <f>COUNTIF(Resp5[5.119],B9)</f>
        <v>7</v>
      </c>
      <c r="F9" s="13">
        <f t="shared" si="0"/>
        <v>0.5</v>
      </c>
      <c r="G9" s="13">
        <f>ROUND($E9/SUM($E$7:$E$11)*100,3)</f>
        <v>5.9320000000000004</v>
      </c>
      <c r="H9">
        <f>E9*6</f>
        <v>42</v>
      </c>
      <c r="J9" s="13">
        <f>(E11+E10+E9)/SUM(E7:E11)</f>
        <v>8.4745762711864403E-2</v>
      </c>
      <c r="M9" s="16"/>
    </row>
    <row r="10" spans="1:13" ht="15" x14ac:dyDescent="0.25">
      <c r="B10" s="8" t="s">
        <v>242</v>
      </c>
      <c r="C10" s="11">
        <f>COUNTIFS(Resp5[Vínculo],"tecnico",Resp5[5.119],B10)</f>
        <v>1</v>
      </c>
      <c r="D10" s="11">
        <f>COUNTIFS(Resp5[Vínculo],"docente",Resp5[5.119],B10)</f>
        <v>2</v>
      </c>
      <c r="E10" s="11">
        <f>COUNTIF(Resp5[5.119],B10)</f>
        <v>3</v>
      </c>
      <c r="F10" s="13">
        <f t="shared" si="0"/>
        <v>0.21</v>
      </c>
      <c r="G10" s="13">
        <f>ROUND($E10/SUM($E$7:$E$11)*100,3)</f>
        <v>2.5419999999999998</v>
      </c>
      <c r="H10">
        <f>E10*4</f>
        <v>12</v>
      </c>
      <c r="J10" s="13">
        <f>(E11+E10+E9+E8)/SUM(E7:E11)</f>
        <v>0.5</v>
      </c>
      <c r="M10" s="16"/>
    </row>
    <row r="11" spans="1:13" ht="15" x14ac:dyDescent="0.25">
      <c r="B11" s="15" t="s">
        <v>241</v>
      </c>
      <c r="C11" s="11">
        <f>COUNTIFS(Resp5[Vínculo],"tecnico",Resp5[5.119],B11)</f>
        <v>0</v>
      </c>
      <c r="D11" s="11">
        <f>COUNTIFS(Resp5[Vínculo],"docente",Resp5[5.119],B11)</f>
        <v>0</v>
      </c>
      <c r="E11" s="11">
        <f>COUNTIF(Resp5[5.119],B11)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99.999000000000009</v>
      </c>
      <c r="H12">
        <f>SUM(H7:H11)/SUM(E7:E11)</f>
        <v>8.7796610169491522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2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2</v>
      </c>
    </row>
    <row r="18" spans="2:5" ht="15" x14ac:dyDescent="0.25">
      <c r="B18" s="38" t="s">
        <v>316</v>
      </c>
      <c r="C18" s="38" t="s">
        <v>26</v>
      </c>
      <c r="D18" s="25">
        <f>SUM(C7:C8)</f>
        <v>48</v>
      </c>
      <c r="E18" s="26">
        <f>ROUND(D18/SUM(D$16:D$18)*100,3)</f>
        <v>96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2</v>
      </c>
      <c r="E22" s="18">
        <f>ROUND(D22/SUM(D$22:D$24)*100,3)</f>
        <v>2.9409999999999998</v>
      </c>
    </row>
    <row r="23" spans="2:5" ht="15" x14ac:dyDescent="0.25">
      <c r="B23" s="35" t="s">
        <v>315</v>
      </c>
      <c r="C23" s="35" t="s">
        <v>24</v>
      </c>
      <c r="D23" s="17">
        <f>D9</f>
        <v>6</v>
      </c>
      <c r="E23" s="18">
        <f>ROUND(D23/SUM(D$22:D$24)*100,3)</f>
        <v>8.8239999999999998</v>
      </c>
    </row>
    <row r="24" spans="2:5" ht="15" x14ac:dyDescent="0.25">
      <c r="B24" s="38" t="s">
        <v>316</v>
      </c>
      <c r="C24" s="38" t="s">
        <v>26</v>
      </c>
      <c r="D24" s="25">
        <f>SUM(D7:D8)</f>
        <v>60</v>
      </c>
      <c r="E24" s="26">
        <f>ROUND(D24/SUM(D$22:D$24)*100,3)</f>
        <v>88.234999999999999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8.7796610169491522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C39" sqref="C39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5120</v>
      </c>
      <c r="B1" s="8"/>
      <c r="C1" s="8"/>
    </row>
    <row r="2" spans="1:13" ht="15" x14ac:dyDescent="0.25">
      <c r="A2" s="8" t="str">
        <f>TEXT(A1,"0.000")</f>
        <v>5.120</v>
      </c>
      <c r="B2" s="8" t="str">
        <f>VLOOKUP(A$2, Eixo5[], 3, FALSE)</f>
        <v>Avalie os serviços prestados pelas unidades do Setor de Ciências Biológicas que você utilizou em 2021: [Secretarias de Programas de Pós-Graduação]</v>
      </c>
    </row>
    <row r="3" spans="1:13" ht="15" x14ac:dyDescent="0.25">
      <c r="A3" s="8" t="s">
        <v>300</v>
      </c>
      <c r="B3" s="8" t="str">
        <f>VLOOKUP(A$2, Eixo5[], 4, FALSE)</f>
        <v>Eixo 5: questão 120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794</v>
      </c>
      <c r="D6" s="8">
        <f>COUNTIF(Resp5[],"docente")-SUM(D$7:D$11)</f>
        <v>502</v>
      </c>
      <c r="E6" s="11">
        <f>E12-SUM(E7:E11)</f>
        <v>1296</v>
      </c>
      <c r="F6" s="13">
        <f>ROUND($E6/E$12*100,2)</f>
        <v>92.11</v>
      </c>
      <c r="G6" s="13"/>
      <c r="J6" s="28"/>
    </row>
    <row r="7" spans="1:13" ht="15" x14ac:dyDescent="0.25">
      <c r="B7" s="8" t="s">
        <v>244</v>
      </c>
      <c r="C7" s="11">
        <f>COUNTIFS(Resp5[Vínculo],"tecnico",Resp5[5.120],B7)</f>
        <v>18</v>
      </c>
      <c r="D7" s="11">
        <f>COUNTIFS(Resp5[Vínculo],"docente",Resp5[5.120],B7)</f>
        <v>40</v>
      </c>
      <c r="E7" s="11">
        <f>COUNTIF(Resp5[5.120],B7)</f>
        <v>58</v>
      </c>
      <c r="F7" s="13">
        <f t="shared" ref="F7:F11" si="0">ROUND($E7/E$12*100,2)</f>
        <v>4.12</v>
      </c>
      <c r="G7" s="13">
        <f>ROUND($E7/SUM($E$7:$E$11)*100,3)</f>
        <v>52.252000000000002</v>
      </c>
      <c r="H7">
        <f>E7*10</f>
        <v>580</v>
      </c>
      <c r="J7" s="13">
        <f>E11/SUM(E7:E11)</f>
        <v>1.8018018018018018E-2</v>
      </c>
      <c r="M7" s="16"/>
    </row>
    <row r="8" spans="1:13" ht="15" x14ac:dyDescent="0.25">
      <c r="B8" s="8" t="s">
        <v>239</v>
      </c>
      <c r="C8" s="11">
        <f>COUNTIFS(Resp5[Vínculo],"tecnico",Resp5[5.120],B8)</f>
        <v>18</v>
      </c>
      <c r="D8" s="11">
        <f>COUNTIFS(Resp5[Vínculo],"docente",Resp5[5.120],B8)</f>
        <v>21</v>
      </c>
      <c r="E8" s="11">
        <f>COUNTIF(Resp5[5.120],B8)</f>
        <v>39</v>
      </c>
      <c r="F8" s="13">
        <f t="shared" si="0"/>
        <v>2.77</v>
      </c>
      <c r="G8" s="13">
        <f>ROUND($E8/SUM($E$7:$E$11)*100,3)</f>
        <v>35.134999999999998</v>
      </c>
      <c r="H8">
        <f>E8*8</f>
        <v>312</v>
      </c>
      <c r="J8" s="13">
        <f>(E11+E10)/SUM(E7:E11)</f>
        <v>3.6036036036036036E-2</v>
      </c>
      <c r="M8" s="16"/>
    </row>
    <row r="9" spans="1:13" ht="15" x14ac:dyDescent="0.25">
      <c r="B9" s="8" t="s">
        <v>237</v>
      </c>
      <c r="C9" s="11">
        <f>COUNTIFS(Resp5[Vínculo],"tecnico",Resp5[5.120],B9)</f>
        <v>1</v>
      </c>
      <c r="D9" s="11">
        <f>COUNTIFS(Resp5[Vínculo],"docente",Resp5[5.120],B9)</f>
        <v>9</v>
      </c>
      <c r="E9" s="11">
        <f>COUNTIF(Resp5[5.120],B9)</f>
        <v>10</v>
      </c>
      <c r="F9" s="13">
        <f t="shared" si="0"/>
        <v>0.71</v>
      </c>
      <c r="G9" s="13">
        <f>ROUND($E9/SUM($E$7:$E$11)*100,3)</f>
        <v>9.0090000000000003</v>
      </c>
      <c r="H9">
        <f>E9*6</f>
        <v>60</v>
      </c>
      <c r="J9" s="13">
        <f>(E11+E10+E9)/SUM(E7:E11)</f>
        <v>0.12612612612612611</v>
      </c>
      <c r="M9" s="16"/>
    </row>
    <row r="10" spans="1:13" ht="15" x14ac:dyDescent="0.25">
      <c r="B10" s="8" t="s">
        <v>242</v>
      </c>
      <c r="C10" s="11">
        <f>COUNTIFS(Resp5[Vínculo],"tecnico",Resp5[5.120],B10)</f>
        <v>1</v>
      </c>
      <c r="D10" s="11">
        <f>COUNTIFS(Resp5[Vínculo],"docente",Resp5[5.120],B10)</f>
        <v>1</v>
      </c>
      <c r="E10" s="11">
        <f>COUNTIF(Resp5[5.120],B10)</f>
        <v>2</v>
      </c>
      <c r="F10" s="13">
        <f t="shared" si="0"/>
        <v>0.14000000000000001</v>
      </c>
      <c r="G10" s="13">
        <f>ROUND($E10/SUM($E$7:$E$11)*100,3)</f>
        <v>1.802</v>
      </c>
      <c r="H10">
        <f>E10*4</f>
        <v>8</v>
      </c>
      <c r="J10" s="13">
        <f>(E11+E10+E9+E8)/SUM(E7:E11)</f>
        <v>0.47747747747747749</v>
      </c>
      <c r="M10" s="16"/>
    </row>
    <row r="11" spans="1:13" ht="15" x14ac:dyDescent="0.25">
      <c r="B11" s="15" t="s">
        <v>241</v>
      </c>
      <c r="C11" s="11">
        <f>COUNTIFS(Resp5[Vínculo],"tecnico",Resp5[5.120],B11)</f>
        <v>1</v>
      </c>
      <c r="D11" s="11">
        <f>COUNTIFS(Resp5[Vínculo],"docente",Resp5[5.120],B11)</f>
        <v>1</v>
      </c>
      <c r="E11" s="11">
        <f>COUNTIF(Resp5[5.120],B11)</f>
        <v>2</v>
      </c>
      <c r="F11" s="39">
        <f t="shared" si="0"/>
        <v>0.14000000000000001</v>
      </c>
      <c r="G11" s="13">
        <f>ROUND($E11/SUM($E$7:$E$11)*100,3)</f>
        <v>1.802</v>
      </c>
      <c r="H11">
        <f>E11*2</f>
        <v>4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100.00000000000001</v>
      </c>
      <c r="H12">
        <f>SUM(H7:H11)/SUM(E7:E11)</f>
        <v>8.6846846846846848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2</v>
      </c>
      <c r="E16" s="18">
        <f>ROUND(D16/SUM(D$16:D$18)*100,3)</f>
        <v>5.1280000000000001</v>
      </c>
    </row>
    <row r="17" spans="2:5" ht="15" x14ac:dyDescent="0.25">
      <c r="B17" s="35" t="s">
        <v>315</v>
      </c>
      <c r="C17" s="35" t="s">
        <v>24</v>
      </c>
      <c r="D17" s="17">
        <f>C9</f>
        <v>1</v>
      </c>
      <c r="E17" s="18">
        <f>ROUND(D17/SUM(D$16:D$18)*100,3)</f>
        <v>2.5640000000000001</v>
      </c>
    </row>
    <row r="18" spans="2:5" ht="15" x14ac:dyDescent="0.25">
      <c r="B18" s="38" t="s">
        <v>316</v>
      </c>
      <c r="C18" s="38" t="s">
        <v>26</v>
      </c>
      <c r="D18" s="25">
        <f>SUM(C7:C8)</f>
        <v>36</v>
      </c>
      <c r="E18" s="26">
        <f>ROUND(D18/SUM(D$16:D$18)*100,3)</f>
        <v>92.308000000000007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2</v>
      </c>
      <c r="E22" s="18">
        <f>ROUND(D22/SUM(D$22:D$24)*100,3)</f>
        <v>2.778</v>
      </c>
    </row>
    <row r="23" spans="2:5" ht="15" x14ac:dyDescent="0.25">
      <c r="B23" s="35" t="s">
        <v>315</v>
      </c>
      <c r="C23" s="35" t="s">
        <v>24</v>
      </c>
      <c r="D23" s="17">
        <f>D9</f>
        <v>9</v>
      </c>
      <c r="E23" s="18">
        <f>ROUND(D23/SUM(D$22:D$24)*100,3)</f>
        <v>12.5</v>
      </c>
    </row>
    <row r="24" spans="2:5" ht="15" x14ac:dyDescent="0.25">
      <c r="B24" s="38" t="s">
        <v>316</v>
      </c>
      <c r="C24" s="38" t="s">
        <v>26</v>
      </c>
      <c r="D24" s="25">
        <f>SUM(D7:D8)</f>
        <v>61</v>
      </c>
      <c r="E24" s="26">
        <f>ROUND(D24/SUM(D$22:D$24)*100,3)</f>
        <v>84.721999999999994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8.6846846846846848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5121</v>
      </c>
      <c r="B1" s="8"/>
      <c r="C1" s="8"/>
    </row>
    <row r="2" spans="1:13" ht="15" x14ac:dyDescent="0.25">
      <c r="A2" s="8" t="str">
        <f>TEXT(A1,"0.000")</f>
        <v>5.121</v>
      </c>
      <c r="B2" s="8" t="str">
        <f>VLOOKUP(A$2, Eixo5[], 3, FALSE)</f>
        <v>Avalie os serviços prestados pelas unidades do Setor de Ciências Biológicas que você utilizou em 2021: [Secretarias de Departamentos]</v>
      </c>
    </row>
    <row r="3" spans="1:13" ht="15" x14ac:dyDescent="0.25">
      <c r="A3" s="8" t="s">
        <v>300</v>
      </c>
      <c r="B3" s="8" t="str">
        <f>VLOOKUP(A$2, Eixo5[], 4, FALSE)</f>
        <v>Eixo 5: questão 121</v>
      </c>
    </row>
    <row r="5" spans="1:13" ht="15" x14ac:dyDescent="0.25">
      <c r="B5" s="9" t="s">
        <v>301</v>
      </c>
      <c r="C5" s="9" t="s">
        <v>302</v>
      </c>
      <c r="D5" s="9" t="s">
        <v>303</v>
      </c>
      <c r="E5" s="9" t="s">
        <v>304</v>
      </c>
      <c r="F5" s="10" t="s">
        <v>305</v>
      </c>
      <c r="G5" s="10" t="s">
        <v>306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307</v>
      </c>
      <c r="B6" s="8" t="s">
        <v>308</v>
      </c>
      <c r="C6" s="8">
        <f>COUNTIF(Resp5[],"tecnico")-SUM(C$7:C$11)</f>
        <v>779</v>
      </c>
      <c r="D6" s="8">
        <f>COUNTIF(Resp5[],"docente")-SUM(D$7:D$11)</f>
        <v>493</v>
      </c>
      <c r="E6" s="11">
        <f>E12-SUM(E7:E11)</f>
        <v>1272</v>
      </c>
      <c r="F6" s="13">
        <f>ROUND($E6/E$12*100,2)</f>
        <v>90.41</v>
      </c>
      <c r="G6" s="13"/>
      <c r="J6" s="28"/>
    </row>
    <row r="7" spans="1:13" ht="15" x14ac:dyDescent="0.25">
      <c r="B7" s="8" t="s">
        <v>244</v>
      </c>
      <c r="C7" s="11">
        <f>COUNTIFS(Resp5[Vínculo],"tecnico",Resp5[5.121],B7)</f>
        <v>27</v>
      </c>
      <c r="D7" s="11">
        <f>COUNTIFS(Resp5[Vínculo],"docente",Resp5[5.121],B7)</f>
        <v>43</v>
      </c>
      <c r="E7" s="11">
        <f>COUNTIF(Resp5[5.121],B7)</f>
        <v>70</v>
      </c>
      <c r="F7" s="13">
        <f t="shared" ref="F7:F11" si="0">ROUND($E7/E$12*100,2)</f>
        <v>4.9800000000000004</v>
      </c>
      <c r="G7" s="13">
        <f>ROUND($E7/SUM($E$7:$E$11)*100,3)</f>
        <v>51.851999999999997</v>
      </c>
      <c r="H7">
        <f>E7*10</f>
        <v>700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COUNTIFS(Resp5[Vínculo],"tecnico",Resp5[5.121],B8)</f>
        <v>24</v>
      </c>
      <c r="D8" s="11">
        <f>COUNTIFS(Resp5[Vínculo],"docente",Resp5[5.121],B8)</f>
        <v>22</v>
      </c>
      <c r="E8" s="11">
        <f>COUNTIF(Resp5[5.121],B8)</f>
        <v>46</v>
      </c>
      <c r="F8" s="13">
        <f t="shared" si="0"/>
        <v>3.27</v>
      </c>
      <c r="G8" s="13">
        <f>ROUND($E8/SUM($E$7:$E$11)*100,3)</f>
        <v>34.073999999999998</v>
      </c>
      <c r="H8">
        <f>E8*8</f>
        <v>368</v>
      </c>
      <c r="J8" s="13">
        <f>(E11+E10)/SUM(E7:E11)</f>
        <v>3.7037037037037035E-2</v>
      </c>
      <c r="M8" s="16"/>
    </row>
    <row r="9" spans="1:13" ht="15" x14ac:dyDescent="0.25">
      <c r="B9" s="8" t="s">
        <v>237</v>
      </c>
      <c r="C9" s="11">
        <f>COUNTIFS(Resp5[Vínculo],"tecnico",Resp5[5.121],B9)</f>
        <v>2</v>
      </c>
      <c r="D9" s="11">
        <f>COUNTIFS(Resp5[Vínculo],"docente",Resp5[5.121],B9)</f>
        <v>12</v>
      </c>
      <c r="E9" s="11">
        <f>COUNTIF(Resp5[5.121],B9)</f>
        <v>14</v>
      </c>
      <c r="F9" s="13">
        <f t="shared" si="0"/>
        <v>1</v>
      </c>
      <c r="G9" s="13">
        <f>ROUND($E9/SUM($E$7:$E$11)*100,3)</f>
        <v>10.37</v>
      </c>
      <c r="H9">
        <f>E9*6</f>
        <v>84</v>
      </c>
      <c r="J9" s="13">
        <f>(E11+E10+E9)/SUM(E7:E11)</f>
        <v>0.14074074074074075</v>
      </c>
      <c r="M9" s="16"/>
    </row>
    <row r="10" spans="1:13" ht="15" x14ac:dyDescent="0.25">
      <c r="B10" s="8" t="s">
        <v>242</v>
      </c>
      <c r="C10" s="11">
        <f>COUNTIFS(Resp5[Vínculo],"tecnico",Resp5[5.121],B10)</f>
        <v>1</v>
      </c>
      <c r="D10" s="11">
        <f>COUNTIFS(Resp5[Vínculo],"docente",Resp5[5.121],B10)</f>
        <v>4</v>
      </c>
      <c r="E10" s="11">
        <f>COUNTIF(Resp5[5.121],B10)</f>
        <v>5</v>
      </c>
      <c r="F10" s="13">
        <f t="shared" si="0"/>
        <v>0.36</v>
      </c>
      <c r="G10" s="13">
        <f>ROUND($E10/SUM($E$7:$E$11)*100,3)</f>
        <v>3.7040000000000002</v>
      </c>
      <c r="H10">
        <f>E10*4</f>
        <v>20</v>
      </c>
      <c r="J10" s="13">
        <f>(E11+E10+E9+E8)/SUM(E7:E11)</f>
        <v>0.48148148148148145</v>
      </c>
      <c r="M10" s="16"/>
    </row>
    <row r="11" spans="1:13" ht="15" x14ac:dyDescent="0.25">
      <c r="B11" s="15" t="s">
        <v>241</v>
      </c>
      <c r="C11" s="11">
        <f>COUNTIFS(Resp5[Vínculo],"tecnico",Resp5[5.121],B11)</f>
        <v>0</v>
      </c>
      <c r="D11" s="11">
        <f>COUNTIFS(Resp5[Vínculo],"docente",Resp5[5.121],B11)</f>
        <v>0</v>
      </c>
      <c r="E11" s="11">
        <f>COUNTIF(Resp5[5.121],B11)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309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99.999999999999986</v>
      </c>
      <c r="H12">
        <f>SUM(H7:H11)/SUM(E7:E11)</f>
        <v>8.681481481481482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310</v>
      </c>
      <c r="C15" s="20" t="s">
        <v>311</v>
      </c>
      <c r="D15" s="9" t="s">
        <v>302</v>
      </c>
      <c r="E15" s="10" t="s">
        <v>305</v>
      </c>
    </row>
    <row r="16" spans="1:13" ht="15" x14ac:dyDescent="0.25">
      <c r="B16" s="33" t="s">
        <v>312</v>
      </c>
      <c r="C16" s="33" t="s">
        <v>22</v>
      </c>
      <c r="D16" s="17">
        <f>SUM(C10:C11)</f>
        <v>1</v>
      </c>
      <c r="E16" s="18">
        <f>ROUND(D16/SUM(D$16:D$18)*100,3)</f>
        <v>1.8520000000000001</v>
      </c>
    </row>
    <row r="17" spans="2:5" ht="15" x14ac:dyDescent="0.25">
      <c r="B17" s="35" t="s">
        <v>315</v>
      </c>
      <c r="C17" s="35" t="s">
        <v>24</v>
      </c>
      <c r="D17" s="17">
        <f>C9</f>
        <v>2</v>
      </c>
      <c r="E17" s="18">
        <f>ROUND(D17/SUM(D$16:D$18)*100,3)</f>
        <v>3.7040000000000002</v>
      </c>
    </row>
    <row r="18" spans="2:5" ht="15" x14ac:dyDescent="0.25">
      <c r="B18" s="38" t="s">
        <v>316</v>
      </c>
      <c r="C18" s="38" t="s">
        <v>26</v>
      </c>
      <c r="D18" s="25">
        <f>SUM(C7:C8)</f>
        <v>51</v>
      </c>
      <c r="E18" s="26">
        <f>ROUND(D18/SUM(D$16:D$18)*100,3)</f>
        <v>94.444000000000003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310</v>
      </c>
      <c r="C21" s="20" t="s">
        <v>311</v>
      </c>
      <c r="D21" s="9" t="s">
        <v>303</v>
      </c>
      <c r="E21" s="10" t="s">
        <v>305</v>
      </c>
    </row>
    <row r="22" spans="2:5" ht="15" x14ac:dyDescent="0.25">
      <c r="B22" s="33" t="s">
        <v>312</v>
      </c>
      <c r="C22" s="33" t="s">
        <v>22</v>
      </c>
      <c r="D22" s="17">
        <f>SUM(D10:D11)</f>
        <v>4</v>
      </c>
      <c r="E22" s="18">
        <f>ROUND(D22/SUM(D$22:D$24)*100,3)</f>
        <v>4.9379999999999997</v>
      </c>
    </row>
    <row r="23" spans="2:5" ht="15" x14ac:dyDescent="0.25">
      <c r="B23" s="35" t="s">
        <v>315</v>
      </c>
      <c r="C23" s="35" t="s">
        <v>24</v>
      </c>
      <c r="D23" s="17">
        <f>D9</f>
        <v>12</v>
      </c>
      <c r="E23" s="18">
        <f>ROUND(D23/SUM(D$22:D$24)*100,3)</f>
        <v>14.815</v>
      </c>
    </row>
    <row r="24" spans="2:5" ht="15" x14ac:dyDescent="0.25">
      <c r="B24" s="38" t="s">
        <v>316</v>
      </c>
      <c r="C24" s="38" t="s">
        <v>26</v>
      </c>
      <c r="D24" s="25">
        <f>SUM(D7:D8)</f>
        <v>65</v>
      </c>
      <c r="E24" s="26">
        <f>ROUND(D24/SUM(D$22:D$24)*100,3)</f>
        <v>80.247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317</v>
      </c>
      <c r="C28" s="30">
        <f>I12</f>
        <v>10</v>
      </c>
      <c r="D28" s="30">
        <f>H12</f>
        <v>8.681481481481482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OrientaçõesInformações</vt:lpstr>
      <vt:lpstr>Eixo 5</vt:lpstr>
      <vt:lpstr>TituloQuestões</vt:lpstr>
      <vt:lpstr>Q2.06</vt:lpstr>
      <vt:lpstr>Q5.117BL</vt:lpstr>
      <vt:lpstr>Q5.118</vt:lpstr>
      <vt:lpstr>Q5.119</vt:lpstr>
      <vt:lpstr>Q5.120</vt:lpstr>
      <vt:lpstr>Q5.121</vt:lpstr>
      <vt:lpstr>Q5.122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2022-01-14T17:34:01Z</dcterms:modified>
  <cp:category/>
  <cp:contentStatus/>
</cp:coreProperties>
</file>