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11" documentId="11_9209647FAABAEF277A4346323842463737CA2532" xr6:coauthVersionLast="47" xr6:coauthVersionMax="47" xr10:uidLastSave="{9A7F5B59-B9FD-40C8-AE8D-E421426D7517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7" i="28"/>
  <c r="F26" i="28" l="1"/>
  <c r="C8" i="7"/>
  <c r="D25" i="7" s="1"/>
  <c r="E26" i="28"/>
  <c r="B27" i="28" l="1"/>
  <c r="E27" i="28" s="1"/>
  <c r="C27" i="28"/>
  <c r="F27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11" i="25"/>
  <c r="D12" i="25"/>
  <c r="D7" i="25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10" i="24"/>
  <c r="D11" i="24"/>
  <c r="D12" i="24"/>
  <c r="D7" i="24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11" i="23"/>
  <c r="D12" i="23"/>
  <c r="D7" i="23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11" i="22"/>
  <c r="D12" i="22"/>
  <c r="D7" i="22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11" i="21"/>
  <c r="D12" i="21"/>
  <c r="D7" i="2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10" i="20"/>
  <c r="D11" i="20"/>
  <c r="D12" i="20"/>
  <c r="D7" i="20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10" i="19"/>
  <c r="D11" i="19"/>
  <c r="D12" i="19"/>
  <c r="D7" i="19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11" i="18"/>
  <c r="D12" i="18"/>
  <c r="D7" i="18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11" i="17"/>
  <c r="D12" i="17"/>
  <c r="D7" i="17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C10" i="16"/>
  <c r="D21" i="16" s="1"/>
  <c r="E8" i="16"/>
  <c r="D8" i="16"/>
  <c r="C8" i="16"/>
  <c r="D19" i="16" s="1"/>
  <c r="D7" i="16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11" i="14"/>
  <c r="D12" i="14"/>
  <c r="D7" i="14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11" i="13"/>
  <c r="D12" i="13"/>
  <c r="D7" i="13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11" i="11"/>
  <c r="D12" i="11"/>
  <c r="D7" i="1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19" i="19"/>
  <c r="G7" i="25"/>
  <c r="D18" i="14"/>
  <c r="G7" i="7"/>
  <c r="G7" i="11"/>
  <c r="D6" i="10"/>
  <c r="D9" i="10" s="1"/>
  <c r="D6" i="5"/>
  <c r="D19" i="23"/>
  <c r="D18" i="13"/>
  <c r="G9" i="5"/>
  <c r="C6" i="13"/>
  <c r="C6" i="14"/>
  <c r="E6" i="12"/>
  <c r="F6" i="12" s="1"/>
  <c r="D6" i="7"/>
  <c r="C6" i="11"/>
  <c r="D6" i="11"/>
  <c r="D6" i="12"/>
  <c r="D12" i="12" s="1"/>
  <c r="D6" i="13"/>
  <c r="D13" i="13" s="1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C6" i="19"/>
  <c r="C13" i="19" s="1"/>
  <c r="C6" i="21"/>
  <c r="C13" i="21" s="1"/>
  <c r="D22" i="21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1" i="13"/>
  <c r="D21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E25" i="7" l="1"/>
  <c r="D26" i="7"/>
  <c r="E22" i="7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D13" i="21"/>
  <c r="E13" i="21" s="1"/>
  <c r="D13" i="16"/>
  <c r="D13" i="25"/>
  <c r="E13" i="25" s="1"/>
  <c r="E6" i="25" s="1"/>
  <c r="C13" i="13"/>
  <c r="E13" i="13" s="1"/>
  <c r="E12" i="12"/>
  <c r="F12" i="12" s="1"/>
  <c r="C13" i="14"/>
  <c r="E19" i="14"/>
  <c r="D13" i="14"/>
  <c r="E18" i="13"/>
  <c r="E20" i="13"/>
  <c r="E21" i="14"/>
  <c r="E18" i="14"/>
  <c r="E19" i="13"/>
  <c r="E21" i="13"/>
  <c r="E20" i="14"/>
  <c r="C13" i="16"/>
  <c r="E12" i="15"/>
  <c r="F12" i="15" s="1"/>
  <c r="E20" i="16"/>
  <c r="E19" i="16"/>
  <c r="E22" i="16"/>
  <c r="E20" i="18"/>
  <c r="E22" i="23"/>
  <c r="E22" i="24"/>
  <c r="E20" i="21"/>
  <c r="E22" i="19"/>
  <c r="D13" i="18"/>
  <c r="E13" i="18" s="1"/>
  <c r="D13" i="22"/>
  <c r="E13" i="22" s="1"/>
  <c r="D13" i="20"/>
  <c r="E13" i="20" s="1"/>
  <c r="E21" i="16"/>
  <c r="E19" i="25"/>
  <c r="D13" i="24"/>
  <c r="E13" i="24" s="1"/>
  <c r="D13" i="19"/>
  <c r="E13" i="19" s="1"/>
  <c r="D13" i="17"/>
  <c r="E13" i="17" s="1"/>
  <c r="D13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19" i="18"/>
  <c r="E19" i="23"/>
  <c r="E20" i="24"/>
  <c r="E22" i="18"/>
  <c r="E21" i="18"/>
  <c r="E21" i="19"/>
  <c r="E19" i="19"/>
  <c r="E20" i="19"/>
  <c r="E20" i="17"/>
  <c r="E21" i="17"/>
  <c r="E19" i="17"/>
  <c r="E22" i="17"/>
  <c r="E19" i="21"/>
  <c r="E21" i="21"/>
  <c r="E22" i="21"/>
  <c r="E19" i="24"/>
  <c r="E21" i="24"/>
  <c r="E21" i="23"/>
  <c r="E20" i="23"/>
  <c r="E20" i="20"/>
  <c r="E21" i="20"/>
  <c r="E19" i="20"/>
  <c r="E22" i="20"/>
  <c r="E19" i="22"/>
  <c r="E20" i="22"/>
  <c r="E21" i="22"/>
  <c r="E20" i="25"/>
  <c r="E21" i="25"/>
  <c r="E22" i="25"/>
  <c r="E22" i="22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6" i="5"/>
  <c r="F6" i="5" s="1"/>
</calcChain>
</file>

<file path=xl/sharedStrings.xml><?xml version="1.0" encoding="utf-8"?>
<sst xmlns="http://schemas.openxmlformats.org/spreadsheetml/2006/main" count="812" uniqueCount="180">
  <si>
    <t>Vínculo</t>
  </si>
  <si>
    <t>Setor</t>
  </si>
  <si>
    <t>2.01</t>
  </si>
  <si>
    <t>2.02</t>
  </si>
  <si>
    <t>2.03</t>
  </si>
  <si>
    <t>2.06</t>
  </si>
  <si>
    <t>2.07</t>
  </si>
  <si>
    <t>2.08</t>
  </si>
  <si>
    <t>tecnico</t>
  </si>
  <si>
    <t>AUDIN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</si>
  <si>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</si>
  <si>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</si>
  <si>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Sim</t>
  </si>
  <si>
    <t>Regular</t>
  </si>
  <si>
    <t>Excelente</t>
  </si>
  <si>
    <t>Não</t>
  </si>
  <si>
    <t>Bom</t>
  </si>
  <si>
    <t>Na minha unidade, não temos conhecimento sobre os processos de Autoavaliação e as decisões para o planejamento interno são tomadas de forma autônoma</t>
  </si>
  <si>
    <t>Não observo na minha unidade a atenção e a inserção dos resultados da Autoavaliação em ações de melhoria</t>
  </si>
  <si>
    <t>Não sei responder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</si>
  <si>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</si>
  <si>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</si>
  <si>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</si>
  <si>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</si>
  <si>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</si>
  <si>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</si>
  <si>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</si>
  <si>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</si>
  <si>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</si>
  <si>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</si>
  <si>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Péssimo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</si>
  <si>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</si>
  <si>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</si>
  <si>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</si>
  <si>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</si>
  <si>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</si>
  <si>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</si>
  <si>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</si>
  <si>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</si>
  <si>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</si>
  <si>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</si>
  <si>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</si>
  <si>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</si>
  <si>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</si>
  <si>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</si>
  <si>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</si>
  <si>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</si>
  <si>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</si>
  <si>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</si>
  <si>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</si>
  <si>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</si>
  <si>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</si>
  <si>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</si>
  <si>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</si>
  <si>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</si>
  <si>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</si>
  <si>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</si>
  <si>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</si>
  <si>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</si>
  <si>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</si>
  <si>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</si>
  <si>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</si>
  <si>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</si>
  <si>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</si>
  <si>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</si>
  <si>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</si>
  <si>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</si>
  <si>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</si>
  <si>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</si>
  <si>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</si>
  <si>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</si>
  <si>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</si>
  <si>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</si>
  <si>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</si>
  <si>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</si>
  <si>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</si>
  <si>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</si>
  <si>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</si>
  <si>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</si>
  <si>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</si>
  <si>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</si>
  <si>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</si>
  <si>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</si>
  <si>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</si>
  <si>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</si>
  <si>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</si>
  <si>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</si>
  <si>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</si>
  <si>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</si>
  <si>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</si>
  <si>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</si>
  <si>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</si>
  <si>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</si>
  <si>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</si>
  <si>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</si>
  <si>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</si>
  <si>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</si>
  <si>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</si>
  <si>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</si>
  <si>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</si>
  <si>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</si>
  <si>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</si>
  <si>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</si>
  <si>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</si>
  <si>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</si>
  <si>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</si>
  <si>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</si>
  <si>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</si>
  <si>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</si>
  <si>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</si>
  <si>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</si>
  <si>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</si>
  <si>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</si>
  <si>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</si>
  <si>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</si>
  <si>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</si>
  <si>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</si>
  <si>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</si>
  <si>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</si>
  <si>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</si>
  <si>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</si>
  <si>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</si>
  <si>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</si>
  <si>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</si>
  <si>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</si>
  <si>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</si>
  <si>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</si>
  <si>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</si>
  <si>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</si>
  <si>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</si>
  <si>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</si>
  <si>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</si>
  <si>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</si>
  <si>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</si>
  <si>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</si>
  <si>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</si>
  <si>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</si>
  <si>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</si>
  <si>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</si>
  <si>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</si>
  <si>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</si>
  <si>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</si>
  <si>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</si>
  <si>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</si>
  <si>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</si>
  <si>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</si>
  <si>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</si>
  <si>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</si>
  <si>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</si>
  <si>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</si>
  <si>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</si>
  <si>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</si>
  <si>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</si>
  <si>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</si>
  <si>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</si>
  <si>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</si>
  <si>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</si>
  <si>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</si>
  <si>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</si>
  <si>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</si>
  <si>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</si>
  <si>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</si>
  <si>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</si>
  <si>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</si>
  <si>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</si>
  <si>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</si>
  <si>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</si>
  <si>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</si>
  <si>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</si>
  <si>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</si>
  <si>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</si>
  <si>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Na minha unidade, participamos efetivamente da elaboração do planejamento interno, mas não utilizamos os resultados da Autoavaliação</t>
  </si>
  <si>
    <t>Legendas</t>
  </si>
  <si>
    <t>Ações</t>
  </si>
  <si>
    <t>Não se aplica nesse caso</t>
  </si>
  <si>
    <t>Lgendas</t>
  </si>
  <si>
    <t>Respopstas</t>
  </si>
  <si>
    <t>Sem respostas</t>
  </si>
  <si>
    <t>Ruim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</si>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</sst>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19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0" borderId="5" xfId="0" applyFont="1" applyFill="1" applyBorder="1"/>
    <xf numFmtId="0" fontId="16" fillId="20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1717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07840"/>
        <c:axId val="94309376"/>
      </c:barChart>
      <c:catAx>
        <c:axId val="9430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09376"/>
        <c:crosses val="autoZero"/>
        <c:auto val="1"/>
        <c:lblAlgn val="ctr"/>
        <c:lblOffset val="100"/>
        <c:noMultiLvlLbl val="0"/>
      </c:catAx>
      <c:valAx>
        <c:axId val="9430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0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097664"/>
        <c:axId val="109851392"/>
      </c:barChart>
      <c:catAx>
        <c:axId val="10609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851392"/>
        <c:crosses val="autoZero"/>
        <c:auto val="1"/>
        <c:lblAlgn val="ctr"/>
        <c:lblOffset val="100"/>
        <c:noMultiLvlLbl val="0"/>
      </c:catAx>
      <c:valAx>
        <c:axId val="10985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09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14.286</c:v>
                </c:pt>
                <c:pt idx="3">
                  <c:v>71.429000000000002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28.571000000000002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007424"/>
        <c:axId val="110008960"/>
      </c:barChart>
      <c:catAx>
        <c:axId val="1100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08960"/>
        <c:crosses val="autoZero"/>
        <c:auto val="1"/>
        <c:lblAlgn val="ctr"/>
        <c:lblOffset val="100"/>
        <c:noMultiLvlLbl val="0"/>
      </c:catAx>
      <c:valAx>
        <c:axId val="11000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0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660032"/>
        <c:axId val="109661568"/>
      </c:barChart>
      <c:catAx>
        <c:axId val="10966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661568"/>
        <c:crosses val="autoZero"/>
        <c:auto val="1"/>
        <c:lblAlgn val="ctr"/>
        <c:lblOffset val="100"/>
        <c:noMultiLvlLbl val="0"/>
      </c:catAx>
      <c:valAx>
        <c:axId val="10966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66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42.856999999999999</c:v>
                </c:pt>
                <c:pt idx="3">
                  <c:v>42.856999999999999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63776"/>
        <c:axId val="110365312"/>
      </c:barChart>
      <c:catAx>
        <c:axId val="110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65312"/>
        <c:crosses val="autoZero"/>
        <c:auto val="1"/>
        <c:lblAlgn val="ctr"/>
        <c:lblOffset val="100"/>
        <c:noMultiLvlLbl val="0"/>
      </c:catAx>
      <c:valAx>
        <c:axId val="11036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14.286</c:v>
                </c:pt>
                <c:pt idx="3">
                  <c:v>71.429000000000002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474176"/>
        <c:axId val="109475712"/>
      </c:barChart>
      <c:catAx>
        <c:axId val="1094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75712"/>
        <c:crosses val="autoZero"/>
        <c:auto val="1"/>
        <c:lblAlgn val="ctr"/>
        <c:lblOffset val="100"/>
        <c:noMultiLvlLbl val="0"/>
      </c:catAx>
      <c:valAx>
        <c:axId val="1094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7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42.856999999999999</c:v>
                </c:pt>
                <c:pt idx="3">
                  <c:v>42.856999999999999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1463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513408"/>
        <c:axId val="94519296"/>
      </c:barChart>
      <c:catAx>
        <c:axId val="9451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19296"/>
        <c:crosses val="autoZero"/>
        <c:auto val="1"/>
        <c:lblAlgn val="ctr"/>
        <c:lblOffset val="100"/>
        <c:noMultiLvlLbl val="0"/>
      </c:catAx>
      <c:valAx>
        <c:axId val="9451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1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763392"/>
        <c:axId val="110769280"/>
      </c:barChart>
      <c:catAx>
        <c:axId val="11076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69280"/>
        <c:crosses val="autoZero"/>
        <c:auto val="1"/>
        <c:lblAlgn val="ctr"/>
        <c:lblOffset val="100"/>
        <c:noMultiLvlLbl val="0"/>
      </c:catAx>
      <c:valAx>
        <c:axId val="11076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6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14.286</c:v>
                </c:pt>
                <c:pt idx="1">
                  <c:v>14.286</c:v>
                </c:pt>
                <c:pt idx="2">
                  <c:v>14.286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135936"/>
        <c:axId val="110150016"/>
      </c:barChart>
      <c:catAx>
        <c:axId val="11013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50016"/>
        <c:crosses val="autoZero"/>
        <c:auto val="1"/>
        <c:lblAlgn val="ctr"/>
        <c:lblOffset val="100"/>
        <c:noMultiLvlLbl val="0"/>
      </c:catAx>
      <c:valAx>
        <c:axId val="11015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3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28.571000000000002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44064"/>
        <c:axId val="110345600"/>
      </c:barChart>
      <c:catAx>
        <c:axId val="1103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45600"/>
        <c:crosses val="autoZero"/>
        <c:auto val="1"/>
        <c:lblAlgn val="ctr"/>
        <c:lblOffset val="100"/>
        <c:noMultiLvlLbl val="0"/>
      </c:catAx>
      <c:valAx>
        <c:axId val="11034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4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14.286</c:v>
                </c:pt>
                <c:pt idx="3">
                  <c:v>71.429000000000002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68960"/>
        <c:axId val="110570496"/>
      </c:barChart>
      <c:catAx>
        <c:axId val="11056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70496"/>
        <c:crosses val="autoZero"/>
        <c:auto val="1"/>
        <c:lblAlgn val="ctr"/>
        <c:lblOffset val="100"/>
        <c:noMultiLvlLbl val="0"/>
      </c:catAx>
      <c:valAx>
        <c:axId val="110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6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14.286</c:v>
                </c:pt>
                <c:pt idx="3">
                  <c:v>71.429000000000002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752512"/>
        <c:axId val="110754048"/>
      </c:barChart>
      <c:catAx>
        <c:axId val="11075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54048"/>
        <c:crosses val="autoZero"/>
        <c:auto val="1"/>
        <c:lblAlgn val="ctr"/>
        <c:lblOffset val="100"/>
        <c:noMultiLvlLbl val="0"/>
      </c:catAx>
      <c:valAx>
        <c:axId val="11075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5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14.286</c:v>
                </c:pt>
                <c:pt idx="3">
                  <c:v>71.429000000000002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939776"/>
        <c:axId val="94953856"/>
      </c:barChart>
      <c:catAx>
        <c:axId val="9493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53856"/>
        <c:crosses val="autoZero"/>
        <c:auto val="1"/>
        <c:lblAlgn val="ctr"/>
        <c:lblOffset val="100"/>
        <c:noMultiLvlLbl val="0"/>
      </c:catAx>
      <c:valAx>
        <c:axId val="9495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3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108480"/>
        <c:axId val="111110016"/>
      </c:barChart>
      <c:catAx>
        <c:axId val="11110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10016"/>
        <c:crosses val="autoZero"/>
        <c:auto val="1"/>
        <c:lblAlgn val="ctr"/>
        <c:lblOffset val="100"/>
        <c:noMultiLvlLbl val="0"/>
      </c:catAx>
      <c:valAx>
        <c:axId val="11111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0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14.286</c:v>
                </c:pt>
                <c:pt idx="3">
                  <c:v>71.429000000000002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575040"/>
        <c:axId val="111576576"/>
      </c:barChart>
      <c:catAx>
        <c:axId val="11157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576576"/>
        <c:crosses val="autoZero"/>
        <c:auto val="1"/>
        <c:lblAlgn val="ctr"/>
        <c:lblOffset val="100"/>
        <c:noMultiLvlLbl val="0"/>
      </c:catAx>
      <c:valAx>
        <c:axId val="1115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57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14.286</c:v>
                </c:pt>
                <c:pt idx="3">
                  <c:v>71.429000000000002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1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14.286</c:v>
                </c:pt>
                <c:pt idx="2">
                  <c:v>0</c:v>
                </c:pt>
                <c:pt idx="3">
                  <c:v>85.713999999999999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583104"/>
        <c:axId val="103588992"/>
      </c:barChart>
      <c:catAx>
        <c:axId val="10358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88992"/>
        <c:crosses val="autoZero"/>
        <c:auto val="1"/>
        <c:lblAlgn val="ctr"/>
        <c:lblOffset val="100"/>
        <c:noMultiLvlLbl val="0"/>
      </c:catAx>
      <c:valAx>
        <c:axId val="10358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8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14.286</c:v>
                </c:pt>
                <c:pt idx="1">
                  <c:v>85.713999999999999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695296"/>
        <c:axId val="104696832"/>
      </c:barChart>
      <c:catAx>
        <c:axId val="10469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96832"/>
        <c:crosses val="autoZero"/>
        <c:auto val="1"/>
        <c:lblAlgn val="ctr"/>
        <c:lblOffset val="100"/>
        <c:noMultiLvlLbl val="0"/>
      </c:catAx>
      <c:valAx>
        <c:axId val="1046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9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767488"/>
        <c:axId val="104769024"/>
      </c:barChart>
      <c:catAx>
        <c:axId val="10476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69024"/>
        <c:crosses val="autoZero"/>
        <c:auto val="1"/>
        <c:lblAlgn val="ctr"/>
        <c:lblOffset val="100"/>
        <c:noMultiLvlLbl val="0"/>
      </c:catAx>
      <c:valAx>
        <c:axId val="10476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6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28.571000000000002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8" totalsRowShown="0" headerRowDxfId="31" dataDxfId="30">
  <autoFilter ref="A1:H8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8" totalsRowShown="0" headerRowDxfId="21" dataDxfId="20">
  <autoFilter ref="A1:L8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zoomScaleNormal="100" workbookViewId="0">
      <selection activeCell="B2" sqref="B2:B8"/>
    </sheetView>
  </sheetViews>
  <sheetFormatPr defaultColWidth="16.140625" defaultRowHeight="15"/>
  <cols>
    <col min="1" max="1" width="16.140625" style="112"/>
    <col min="2" max="16384" width="16.140625" style="78"/>
  </cols>
  <sheetData>
    <row r="1" spans="1:10" s="111" customFormat="1">
      <c r="A1" s="109" t="s">
        <v>0</v>
      </c>
      <c r="B1" s="109" t="s">
        <v>1</v>
      </c>
      <c r="C1" s="109" t="s">
        <v>2</v>
      </c>
      <c r="D1" s="109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10"/>
      <c r="J1" s="110"/>
    </row>
    <row r="2" spans="1:10">
      <c r="A2" s="112" t="s">
        <v>8</v>
      </c>
      <c r="B2" s="112" t="s">
        <v>9</v>
      </c>
      <c r="C2" s="78" t="s">
        <v>10</v>
      </c>
      <c r="D2" s="78" t="s">
        <v>11</v>
      </c>
      <c r="E2" s="78" t="s">
        <v>12</v>
      </c>
      <c r="F2" s="78" t="s">
        <v>13</v>
      </c>
      <c r="G2" s="78" t="s">
        <v>14</v>
      </c>
      <c r="H2" s="78" t="s">
        <v>14</v>
      </c>
    </row>
    <row r="3" spans="1:10">
      <c r="A3" s="112" t="s">
        <v>8</v>
      </c>
      <c r="B3" s="112" t="s">
        <v>9</v>
      </c>
      <c r="C3" s="78" t="s">
        <v>10</v>
      </c>
      <c r="D3" s="78" t="s">
        <v>11</v>
      </c>
      <c r="E3" s="78" t="s">
        <v>15</v>
      </c>
      <c r="F3" s="78" t="s">
        <v>13</v>
      </c>
      <c r="G3" s="78" t="s">
        <v>16</v>
      </c>
      <c r="H3" s="78" t="s">
        <v>13</v>
      </c>
    </row>
    <row r="4" spans="1:10">
      <c r="A4" s="112" t="s">
        <v>8</v>
      </c>
      <c r="B4" s="112" t="s">
        <v>9</v>
      </c>
      <c r="C4" s="78" t="s">
        <v>10</v>
      </c>
      <c r="D4" s="78" t="s">
        <v>11</v>
      </c>
      <c r="E4" s="78" t="s">
        <v>12</v>
      </c>
      <c r="F4" s="78" t="s">
        <v>16</v>
      </c>
      <c r="G4" s="78" t="s">
        <v>16</v>
      </c>
      <c r="H4" s="78" t="s">
        <v>16</v>
      </c>
    </row>
    <row r="5" spans="1:10">
      <c r="A5" s="112" t="s">
        <v>8</v>
      </c>
      <c r="B5" s="112" t="s">
        <v>9</v>
      </c>
      <c r="C5" s="78" t="s">
        <v>10</v>
      </c>
      <c r="D5" s="78" t="s">
        <v>11</v>
      </c>
      <c r="E5" s="78" t="s">
        <v>12</v>
      </c>
      <c r="F5" s="78" t="s">
        <v>16</v>
      </c>
      <c r="G5" s="78" t="s">
        <v>16</v>
      </c>
      <c r="H5" s="78" t="s">
        <v>16</v>
      </c>
    </row>
    <row r="6" spans="1:10">
      <c r="A6" s="112" t="s">
        <v>8</v>
      </c>
      <c r="B6" s="112" t="s">
        <v>9</v>
      </c>
      <c r="C6" s="78" t="s">
        <v>10</v>
      </c>
      <c r="D6" s="78" t="s">
        <v>11</v>
      </c>
      <c r="E6" s="78" t="s">
        <v>15</v>
      </c>
      <c r="F6" s="78" t="s">
        <v>16</v>
      </c>
      <c r="G6" s="78" t="s">
        <v>13</v>
      </c>
      <c r="H6" s="78" t="s">
        <v>13</v>
      </c>
    </row>
    <row r="7" spans="1:10">
      <c r="A7" s="112" t="s">
        <v>8</v>
      </c>
      <c r="B7" s="112" t="s">
        <v>9</v>
      </c>
      <c r="C7" s="78" t="s">
        <v>10</v>
      </c>
      <c r="D7" s="78" t="s">
        <v>11</v>
      </c>
      <c r="E7" s="78" t="s">
        <v>12</v>
      </c>
      <c r="F7" s="78" t="s">
        <v>16</v>
      </c>
      <c r="G7" s="78" t="s">
        <v>14</v>
      </c>
      <c r="H7" s="78" t="s">
        <v>14</v>
      </c>
    </row>
    <row r="8" spans="1:10">
      <c r="A8" s="112" t="s">
        <v>8</v>
      </c>
      <c r="B8" s="112" t="s">
        <v>9</v>
      </c>
      <c r="C8" s="78" t="s">
        <v>17</v>
      </c>
      <c r="D8" s="78" t="s">
        <v>18</v>
      </c>
      <c r="E8" s="78" t="s">
        <v>15</v>
      </c>
      <c r="F8" s="78" t="s">
        <v>19</v>
      </c>
      <c r="G8" s="78" t="s">
        <v>19</v>
      </c>
      <c r="H8" s="78" t="s">
        <v>19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topLeftCell="A7" zoomScale="90" zoomScaleNormal="90" workbookViewId="0">
      <selection activeCell="M26" sqref="M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156</v>
      </c>
      <c r="B3" s="10" t="str">
        <f>VLOOKUP(A$2, Eixo[], 4, FALSE)</f>
        <v>Eixo 2: Questão 6</v>
      </c>
      <c r="C3" s="10"/>
      <c r="D3" s="10"/>
    </row>
    <row r="5" spans="1:9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9">
      <c r="B6" s="9" t="s">
        <v>163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19</v>
      </c>
      <c r="C7" s="10">
        <f>COUNTIFS(Resp2[Vínculo],"tecnico",Resp2[2.06],B7)</f>
        <v>1</v>
      </c>
      <c r="D7" s="10">
        <f>COUNTIFS(Resp2[Vínculo],"docente",Resp2[2.06],B7)</f>
        <v>0</v>
      </c>
      <c r="E7" s="10">
        <f>COUNTIF(Resp2[2.06],B7)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9">
      <c r="B8" s="9" t="s">
        <v>30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9">
      <c r="B9" s="9" t="s">
        <v>178</v>
      </c>
      <c r="C9" s="10">
        <f>COUNTIFS(Resp2[Vínculo],"tecnico",Resp2[2.06],B9)</f>
        <v>0</v>
      </c>
      <c r="D9" s="10">
        <f>COUNTIFS(Resp2[Vínculo],"docente",Resp2[2.06],B9)</f>
        <v>0</v>
      </c>
      <c r="E9" s="10">
        <f>COUNTIF(Resp2[2.06],B9)</f>
        <v>0</v>
      </c>
      <c r="F9" s="25">
        <f t="shared" si="0"/>
        <v>0</v>
      </c>
      <c r="G9" s="25">
        <f t="shared" si="1"/>
        <v>0</v>
      </c>
    </row>
    <row r="10" spans="1:9">
      <c r="B10" s="9" t="s">
        <v>13</v>
      </c>
      <c r="C10" s="10">
        <f>COUNTIFS(Resp2[Vínculo],"tecnico",Resp2[2.06],B10)</f>
        <v>2</v>
      </c>
      <c r="D10" s="10">
        <f>COUNTIFS(Resp2[Vínculo],"docente",Resp2[2.06],B10)</f>
        <v>0</v>
      </c>
      <c r="E10" s="10">
        <f>COUNTIF(Resp2[2.06],B10)</f>
        <v>2</v>
      </c>
      <c r="F10" s="25">
        <f t="shared" si="0"/>
        <v>28.57</v>
      </c>
      <c r="G10" s="25">
        <f t="shared" si="1"/>
        <v>28.571000000000002</v>
      </c>
    </row>
    <row r="11" spans="1:9">
      <c r="B11" s="9" t="s">
        <v>16</v>
      </c>
      <c r="C11" s="10">
        <f>COUNTIFS(Resp2[Vínculo],"tecnico",Resp2[2.06],B11)</f>
        <v>4</v>
      </c>
      <c r="D11" s="10">
        <f>COUNTIFS(Resp2[Vínculo],"docente",Resp2[2.06],B11)</f>
        <v>0</v>
      </c>
      <c r="E11" s="10">
        <f>COUNTIF(Resp2[2.06],B11)</f>
        <v>4</v>
      </c>
      <c r="F11" s="25">
        <f t="shared" si="0"/>
        <v>57.14</v>
      </c>
      <c r="G11" s="25">
        <f t="shared" si="1"/>
        <v>57.143000000000001</v>
      </c>
    </row>
    <row r="12" spans="1:9">
      <c r="B12" s="99" t="s">
        <v>14</v>
      </c>
      <c r="C12" s="98">
        <f>COUNTIFS(Resp2[Vínculo],"tecnico",Resp2[2.06],B12)</f>
        <v>0</v>
      </c>
      <c r="D12" s="98">
        <f>COUNTIFS(Resp2[Vínculo],"docente",Resp2[2.06],B12)</f>
        <v>0</v>
      </c>
      <c r="E12" s="98">
        <f>COUNTIF(Resp2[2.06],B12)</f>
        <v>0</v>
      </c>
      <c r="F12" s="100">
        <f t="shared" si="0"/>
        <v>0</v>
      </c>
      <c r="G12" s="100">
        <f t="shared" si="1"/>
        <v>0</v>
      </c>
    </row>
    <row r="13" spans="1:9">
      <c r="B13" s="10" t="s">
        <v>164</v>
      </c>
      <c r="C13" s="10">
        <f>SUM(C6:C12)</f>
        <v>7</v>
      </c>
      <c r="D13" s="10">
        <f>SUM(D6:D12)</f>
        <v>0</v>
      </c>
      <c r="E13" s="10">
        <f>SUM(C13:D13)</f>
        <v>7</v>
      </c>
      <c r="F13" s="103">
        <f t="shared" si="0"/>
        <v>100</v>
      </c>
      <c r="G13" s="103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172</v>
      </c>
      <c r="C17" s="11" t="s">
        <v>173</v>
      </c>
      <c r="D17" s="7" t="s">
        <v>158</v>
      </c>
      <c r="E17" s="8" t="s">
        <v>161</v>
      </c>
      <c r="F17" s="37"/>
      <c r="G17" s="38"/>
    </row>
    <row r="18" spans="2:7">
      <c r="B18" s="29" t="s">
        <v>83</v>
      </c>
      <c r="C18" s="29" t="s">
        <v>82</v>
      </c>
      <c r="D18" s="15">
        <f>SUM(C8:C9)</f>
        <v>0</v>
      </c>
      <c r="E18" s="44">
        <f>ROUND(D18/SUM(D$18:D$21)*100,3)</f>
        <v>0</v>
      </c>
      <c r="F18" s="37"/>
      <c r="G18" s="38"/>
    </row>
    <row r="19" spans="2:7">
      <c r="B19" s="30" t="s">
        <v>179</v>
      </c>
      <c r="C19" s="30" t="s">
        <v>75</v>
      </c>
      <c r="D19" s="15">
        <f>C7</f>
        <v>1</v>
      </c>
      <c r="E19" s="44">
        <f t="shared" ref="E19:E21" si="2">ROUND(D19/SUM(D$18:D$21)*100,3)</f>
        <v>14.286</v>
      </c>
      <c r="F19" s="37"/>
      <c r="G19" s="38"/>
    </row>
    <row r="20" spans="2:7">
      <c r="B20" s="31" t="s">
        <v>13</v>
      </c>
      <c r="C20" s="31" t="s">
        <v>87</v>
      </c>
      <c r="D20" s="15">
        <f>C10</f>
        <v>2</v>
      </c>
      <c r="E20" s="44">
        <f t="shared" si="2"/>
        <v>28.571000000000002</v>
      </c>
    </row>
    <row r="21" spans="2:7">
      <c r="B21" s="51" t="s">
        <v>93</v>
      </c>
      <c r="C21" s="51" t="s">
        <v>92</v>
      </c>
      <c r="D21" s="33">
        <f>SUM(C11:C12)</f>
        <v>4</v>
      </c>
      <c r="E21" s="45">
        <f t="shared" si="2"/>
        <v>57.143000000000001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44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B23" sqref="B23:E29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156</v>
      </c>
      <c r="B3" s="10" t="str">
        <f>VLOOKUP(A$2, Eixo[], 4, FALSE)</f>
        <v>Eixo 2: Questão 7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COUNTIFS(Resp2[Vínculo],"tecnico",Resp2[2.07],B7)</f>
        <v>1</v>
      </c>
      <c r="D7" s="10">
        <f>COUNTIFS(Resp2[Vínculo],"docente",Resp2[2.07],B7)</f>
        <v>0</v>
      </c>
      <c r="E7" s="10">
        <f>COUNTIF(Resp2[2.07],B7)</f>
        <v>1</v>
      </c>
      <c r="F7" s="25">
        <f t="shared" ref="F7:F12" si="0">ROUND($E7/$E$13*100,2)</f>
        <v>14.29</v>
      </c>
      <c r="G7" s="25">
        <f>ROUND($E7/SUM($E$7:$E$12)*100,3)</f>
        <v>14.286</v>
      </c>
    </row>
    <row r="8" spans="1:7">
      <c r="B8" s="9" t="s">
        <v>30</v>
      </c>
      <c r="C8" s="10">
        <f>COUNTIFS(Resp2[Vínculo],"tecnico",Resp2[2.07],B8)</f>
        <v>0</v>
      </c>
      <c r="D8" s="10">
        <f>COUNTIFS(Resp2[Vínculo],"docente",Resp2[2.07],B8)</f>
        <v>0</v>
      </c>
      <c r="E8" s="10">
        <f>COUNTIF(Resp2[2.07],B8)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COUNTIFS(Resp2[Vínculo],"tecnico",Resp2[2.07],B9)</f>
        <v>0</v>
      </c>
      <c r="D9" s="10">
        <f>COUNTIFS(Resp2[Vínculo],"docente",Resp2[2.07],B9)</f>
        <v>0</v>
      </c>
      <c r="E9" s="10">
        <f>COUNTIF(Resp2[2.07],B9)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COUNTIFS(Resp2[Vínculo],"tecnico",Resp2[2.07],B10)</f>
        <v>1</v>
      </c>
      <c r="D10" s="10">
        <f>COUNTIFS(Resp2[Vínculo],"docente",Resp2[2.07],B10)</f>
        <v>0</v>
      </c>
      <c r="E10" s="10">
        <f>COUNTIF(Resp2[2.07],B10)</f>
        <v>1</v>
      </c>
      <c r="F10" s="25">
        <f t="shared" si="0"/>
        <v>14.29</v>
      </c>
      <c r="G10" s="25">
        <f t="shared" si="1"/>
        <v>14.286</v>
      </c>
    </row>
    <row r="11" spans="1:7">
      <c r="B11" s="9" t="s">
        <v>16</v>
      </c>
      <c r="C11" s="10">
        <f>COUNTIFS(Resp2[Vínculo],"tecnico",Resp2[2.07],B11)</f>
        <v>3</v>
      </c>
      <c r="D11" s="10">
        <f>COUNTIFS(Resp2[Vínculo],"docente",Resp2[2.07],B11)</f>
        <v>0</v>
      </c>
      <c r="E11" s="10">
        <f>COUNTIF(Resp2[2.07],B11)</f>
        <v>3</v>
      </c>
      <c r="F11" s="25">
        <f t="shared" si="0"/>
        <v>42.86</v>
      </c>
      <c r="G11" s="25">
        <f t="shared" si="1"/>
        <v>42.856999999999999</v>
      </c>
    </row>
    <row r="12" spans="1:7">
      <c r="B12" s="26" t="s">
        <v>14</v>
      </c>
      <c r="C12" s="10">
        <f>COUNTIFS(Resp2[Vínculo],"tecnico",Resp2[2.07],B12)</f>
        <v>2</v>
      </c>
      <c r="D12" s="10">
        <f>COUNTIFS(Resp2[Vínculo],"docente",Resp2[2.07],B12)</f>
        <v>0</v>
      </c>
      <c r="E12" s="10">
        <f>COUNTIF(Resp2[2.07],B12)</f>
        <v>2</v>
      </c>
      <c r="F12" s="100">
        <f t="shared" si="0"/>
        <v>28.57</v>
      </c>
      <c r="G12" s="25">
        <f t="shared" si="1"/>
        <v>28.571000000000002</v>
      </c>
    </row>
    <row r="13" spans="1:7">
      <c r="B13" s="9" t="s">
        <v>164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>ROUND($E13/$E$13*100,2)</f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172</v>
      </c>
      <c r="C17" s="22" t="s">
        <v>173</v>
      </c>
      <c r="D17" s="7" t="s">
        <v>158</v>
      </c>
      <c r="E17" s="8" t="s">
        <v>161</v>
      </c>
      <c r="F17" s="15"/>
      <c r="G17" s="10"/>
    </row>
    <row r="18" spans="2:7">
      <c r="B18" s="29" t="s">
        <v>83</v>
      </c>
      <c r="C18" s="29" t="s">
        <v>82</v>
      </c>
      <c r="D18" s="15">
        <f>SUM(C8:C9)</f>
        <v>0</v>
      </c>
      <c r="E18" s="39">
        <f>ROUND(D18/SUM(D$18:D$21)*100,3)</f>
        <v>0</v>
      </c>
      <c r="F18" s="15"/>
      <c r="G18" s="10"/>
    </row>
    <row r="19" spans="2:7">
      <c r="B19" s="30" t="s">
        <v>179</v>
      </c>
      <c r="C19" s="30" t="s">
        <v>75</v>
      </c>
      <c r="D19" s="15">
        <f>C7</f>
        <v>1</v>
      </c>
      <c r="E19" s="39">
        <f t="shared" ref="E19:E21" si="2">ROUND(D19/SUM(D$18:D$21)*100,3)</f>
        <v>14.286</v>
      </c>
      <c r="F19" s="15"/>
      <c r="G19" s="10"/>
    </row>
    <row r="20" spans="2:7">
      <c r="B20" s="31" t="s">
        <v>13</v>
      </c>
      <c r="C20" s="31" t="s">
        <v>87</v>
      </c>
      <c r="D20" s="15">
        <f>C10</f>
        <v>1</v>
      </c>
      <c r="E20" s="39">
        <f t="shared" si="2"/>
        <v>14.286</v>
      </c>
    </row>
    <row r="21" spans="2:7">
      <c r="B21" s="32" t="s">
        <v>93</v>
      </c>
      <c r="C21" s="32" t="s">
        <v>92</v>
      </c>
      <c r="D21" s="33">
        <f>SUM(C11:C12)</f>
        <v>5</v>
      </c>
      <c r="E21" s="42">
        <f t="shared" si="2"/>
        <v>71.429000000000002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B22" sqref="B22:E30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156</v>
      </c>
      <c r="B3" s="10" t="str">
        <f>VLOOKUP(A$2, Eixo[], 4, FALSE)</f>
        <v>Eixo 2: Questão 8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COUNTIFS(Resp2[Vínculo],"tecnico",Resp2[2.08],B7)</f>
        <v>1</v>
      </c>
      <c r="D7" s="10">
        <f>COUNTIFS(Resp2[Vínculo],"docente",Resp2[2.08],B7)</f>
        <v>0</v>
      </c>
      <c r="E7" s="10">
        <f>COUNTIF(Resp2[2.08],B7)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30</v>
      </c>
      <c r="C8" s="10">
        <f>COUNTIFS(Resp2[Vínculo],"tecnico",Resp2[2.08],B8)</f>
        <v>0</v>
      </c>
      <c r="D8" s="10">
        <f>COUNTIFS(Resp2[Vínculo],"docente",Resp2[2.08],B8)</f>
        <v>0</v>
      </c>
      <c r="E8" s="10">
        <f>COUNTIF(Resp2[2.08],B8)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COUNTIFS(Resp2[Vínculo],"tecnico",Resp2[2.08],B9)</f>
        <v>0</v>
      </c>
      <c r="D9" s="10">
        <f>COUNTIFS(Resp2[Vínculo],"docente",Resp2[2.08],B9)</f>
        <v>0</v>
      </c>
      <c r="E9" s="10">
        <f>COUNTIF(Resp2[2.08],B9)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COUNTIFS(Resp2[Vínculo],"tecnico",Resp2[2.08],B10)</f>
        <v>2</v>
      </c>
      <c r="D10" s="10">
        <f>COUNTIFS(Resp2[Vínculo],"docente",Resp2[2.08],B10)</f>
        <v>0</v>
      </c>
      <c r="E10" s="10">
        <f>COUNTIF(Resp2[2.08],B10)</f>
        <v>2</v>
      </c>
      <c r="F10" s="25">
        <f t="shared" si="0"/>
        <v>28.57</v>
      </c>
      <c r="G10" s="25">
        <f t="shared" si="1"/>
        <v>28.571000000000002</v>
      </c>
    </row>
    <row r="11" spans="1:7">
      <c r="B11" s="9" t="s">
        <v>16</v>
      </c>
      <c r="C11" s="10">
        <f>COUNTIFS(Resp2[Vínculo],"tecnico",Resp2[2.08],B11)</f>
        <v>2</v>
      </c>
      <c r="D11" s="10">
        <f>COUNTIFS(Resp2[Vínculo],"docente",Resp2[2.08],B11)</f>
        <v>0</v>
      </c>
      <c r="E11" s="10">
        <f>COUNTIF(Resp2[2.08],B11)</f>
        <v>2</v>
      </c>
      <c r="F11" s="25">
        <f t="shared" si="0"/>
        <v>28.57</v>
      </c>
      <c r="G11" s="25">
        <f t="shared" si="1"/>
        <v>28.571000000000002</v>
      </c>
    </row>
    <row r="12" spans="1:7">
      <c r="B12" s="26" t="s">
        <v>14</v>
      </c>
      <c r="C12" s="10">
        <f>COUNTIFS(Resp2[Vínculo],"tecnico",Resp2[2.08],B12)</f>
        <v>2</v>
      </c>
      <c r="D12" s="10">
        <f>COUNTIFS(Resp2[Vínculo],"docente",Resp2[2.08],B12)</f>
        <v>0</v>
      </c>
      <c r="E12" s="10">
        <f>COUNTIF(Resp2[2.08],B12)</f>
        <v>2</v>
      </c>
      <c r="F12" s="100">
        <f t="shared" si="0"/>
        <v>28.57</v>
      </c>
      <c r="G12" s="25">
        <f t="shared" si="1"/>
        <v>28.571000000000002</v>
      </c>
    </row>
    <row r="13" spans="1:7">
      <c r="B13" s="27" t="s">
        <v>164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99.998999999999995</v>
      </c>
    </row>
    <row r="15" spans="1:7">
      <c r="G15" s="9"/>
    </row>
    <row r="16" spans="1:7">
      <c r="F16" s="15"/>
      <c r="G16" s="10"/>
    </row>
    <row r="17" spans="2:7">
      <c r="B17" s="22" t="s">
        <v>172</v>
      </c>
      <c r="C17" s="22" t="s">
        <v>173</v>
      </c>
      <c r="D17" s="7" t="s">
        <v>158</v>
      </c>
      <c r="E17" s="8" t="s">
        <v>161</v>
      </c>
      <c r="F17" s="15"/>
      <c r="G17" s="10"/>
    </row>
    <row r="18" spans="2:7">
      <c r="B18" s="29" t="s">
        <v>83</v>
      </c>
      <c r="C18" s="29" t="s">
        <v>82</v>
      </c>
      <c r="D18" s="15">
        <f>SUM(C8:C9)</f>
        <v>0</v>
      </c>
      <c r="E18" s="39">
        <f>ROUND(D18/SUM(D$18:D$21)*100,3)</f>
        <v>0</v>
      </c>
      <c r="F18" s="15"/>
      <c r="G18" s="10"/>
    </row>
    <row r="19" spans="2:7">
      <c r="B19" s="30" t="s">
        <v>179</v>
      </c>
      <c r="C19" s="30" t="s">
        <v>75</v>
      </c>
      <c r="D19" s="15">
        <f>C7</f>
        <v>1</v>
      </c>
      <c r="E19" s="39">
        <f t="shared" ref="E19:E21" si="2">ROUND(D19/SUM(D$18:D$21)*100,3)</f>
        <v>14.286</v>
      </c>
      <c r="F19" s="15"/>
      <c r="G19" s="10"/>
    </row>
    <row r="20" spans="2:7">
      <c r="B20" s="31" t="s">
        <v>13</v>
      </c>
      <c r="C20" s="31" t="s">
        <v>87</v>
      </c>
      <c r="D20" s="15">
        <f>C10</f>
        <v>2</v>
      </c>
      <c r="E20" s="39">
        <f t="shared" si="2"/>
        <v>28.571000000000002</v>
      </c>
    </row>
    <row r="21" spans="2:7">
      <c r="B21" s="51" t="s">
        <v>93</v>
      </c>
      <c r="C21" s="51" t="s">
        <v>92</v>
      </c>
      <c r="D21" s="15">
        <f>SUM(C11:C12)</f>
        <v>4</v>
      </c>
      <c r="E21" s="39">
        <f t="shared" si="2"/>
        <v>57.143000000000001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A27" sqref="A27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20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156</v>
      </c>
      <c r="B3" s="10" t="str">
        <f>VLOOKUP(A$2, Eixo[], 4, FALSE)</f>
        <v>Eixo3: Questão 1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COUNTIFS(Resp3[Vínculo],"tecnico",Resp3[3.01],B7)</f>
        <v>1</v>
      </c>
      <c r="D7" s="10">
        <f>COUNTIFS(Resp3[Vínculo],"docente",Resp3[3.01],B7)</f>
        <v>0</v>
      </c>
      <c r="E7" s="10">
        <f>COUNTIF(Resp3[3.01],B7)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30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COUNTIFS(Resp3[Vínculo],"tecnico",Resp3[3.01],B9)</f>
        <v>0</v>
      </c>
      <c r="D9" s="10">
        <f>COUNTIFS(Resp3[Vínculo],"docente",Resp3[3.01],B9)</f>
        <v>0</v>
      </c>
      <c r="E9" s="10">
        <f>COUNTIF(Resp3[3.01],B9)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COUNTIFS(Resp3[Vínculo],"tecnico",Resp3[3.01],B10)</f>
        <v>3</v>
      </c>
      <c r="D10" s="10">
        <f>COUNTIFS(Resp3[Vínculo],"docente",Resp3[3.01],B10)</f>
        <v>0</v>
      </c>
      <c r="E10" s="10">
        <f>COUNTIF(Resp3[3.01],B10)</f>
        <v>3</v>
      </c>
      <c r="F10" s="25">
        <f t="shared" si="0"/>
        <v>42.86</v>
      </c>
      <c r="G10" s="25">
        <f t="shared" si="1"/>
        <v>42.856999999999999</v>
      </c>
    </row>
    <row r="11" spans="1:7">
      <c r="B11" s="9" t="s">
        <v>16</v>
      </c>
      <c r="C11" s="10">
        <f>COUNTIFS(Resp3[Vínculo],"tecnico",Resp3[3.01],B11)</f>
        <v>1</v>
      </c>
      <c r="D11" s="10">
        <f>COUNTIFS(Resp3[Vínculo],"docente",Resp3[3.01],B11)</f>
        <v>0</v>
      </c>
      <c r="E11" s="10">
        <f>COUNTIF(Resp3[3.01],B11)</f>
        <v>1</v>
      </c>
      <c r="F11" s="25">
        <f t="shared" si="0"/>
        <v>14.29</v>
      </c>
      <c r="G11" s="25">
        <f t="shared" si="1"/>
        <v>14.286</v>
      </c>
    </row>
    <row r="12" spans="1:7">
      <c r="B12" s="26" t="s">
        <v>14</v>
      </c>
      <c r="C12" s="10">
        <f>COUNTIFS(Resp3[Vínculo],"tecnico",Resp3[3.01],B12)</f>
        <v>2</v>
      </c>
      <c r="D12" s="10">
        <f>COUNTIFS(Resp3[Vínculo],"docente",Resp3[3.01],B12)</f>
        <v>0</v>
      </c>
      <c r="E12" s="10">
        <f>COUNTIF(Resp3[3.01],B12)</f>
        <v>2</v>
      </c>
      <c r="F12" s="100">
        <f t="shared" si="0"/>
        <v>28.57</v>
      </c>
      <c r="G12" s="25">
        <f t="shared" si="1"/>
        <v>28.571000000000002</v>
      </c>
    </row>
    <row r="13" spans="1:7">
      <c r="B13" s="27" t="s">
        <v>164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172</v>
      </c>
      <c r="C18" s="22" t="s">
        <v>173</v>
      </c>
      <c r="D18" s="46" t="s">
        <v>158</v>
      </c>
      <c r="E18" s="47" t="s">
        <v>161</v>
      </c>
      <c r="F18" s="15"/>
      <c r="G18" s="10"/>
    </row>
    <row r="19" spans="2:7">
      <c r="B19" s="29" t="s">
        <v>83</v>
      </c>
      <c r="C19" s="29" t="s">
        <v>82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75</v>
      </c>
      <c r="D20" s="15">
        <f>C7</f>
        <v>1</v>
      </c>
      <c r="E20" s="44">
        <f>ROUND(D20/SUM(D$19:D$22)*100,3)</f>
        <v>14.286</v>
      </c>
    </row>
    <row r="21" spans="2:7">
      <c r="B21" s="31" t="s">
        <v>13</v>
      </c>
      <c r="C21" s="31" t="s">
        <v>87</v>
      </c>
      <c r="D21" s="15">
        <f>C10</f>
        <v>3</v>
      </c>
      <c r="E21" s="44">
        <f>ROUND(D21/SUM(D$19:D$22)*100,3)</f>
        <v>42.856999999999999</v>
      </c>
    </row>
    <row r="22" spans="2:7">
      <c r="B22" s="32" t="s">
        <v>93</v>
      </c>
      <c r="C22" s="32" t="s">
        <v>92</v>
      </c>
      <c r="D22" s="33">
        <f>SUM(C11:C12)</f>
        <v>3</v>
      </c>
      <c r="E22" s="45">
        <f>ROUND(D22/SUM(D$19:D$22)*100,3)</f>
        <v>42.856999999999999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B24" sqref="B24:E31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21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156</v>
      </c>
      <c r="B3" s="10" t="str">
        <f>VLOOKUP(A$2, Eixo[], 4, FALSE)</f>
        <v>Eixo3: Questão 2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19</v>
      </c>
      <c r="C7" s="10">
        <f>COUNTIFS(Resp3[Vínculo],"tecnico",Resp3[3.02],B7)</f>
        <v>1</v>
      </c>
      <c r="D7" s="10">
        <f>COUNTIFS(Resp3[Vínculo],"docente",Resp3[3.02],B7)</f>
        <v>0</v>
      </c>
      <c r="E7" s="10">
        <f>COUNTIF(Resp3[3.02],B7)</f>
        <v>1</v>
      </c>
      <c r="F7" s="25">
        <f t="shared" ref="F7:F13" si="0">ROUND($E7/E$13*100,2)</f>
        <v>14.29</v>
      </c>
      <c r="G7" s="25">
        <f>ROUND($E7/SUM($E$7:$E$12)*100,3)</f>
        <v>14.286</v>
      </c>
    </row>
    <row r="8" spans="1:7">
      <c r="B8" s="9" t="s">
        <v>30</v>
      </c>
      <c r="C8" s="10">
        <f>COUNTIFS(Resp3[Vínculo],"tecnico",Resp3[3.02],B8)</f>
        <v>0</v>
      </c>
      <c r="D8" s="10">
        <f>COUNTIFS(Resp3[Vínculo],"docente",Resp3[3.02],B8)</f>
        <v>0</v>
      </c>
      <c r="E8" s="10">
        <f>COUNTIF(Resp3[3.02],B8)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COUNTIFS(Resp3[Vínculo],"tecnico",Resp3[3.02],B9)</f>
        <v>0</v>
      </c>
      <c r="D9" s="10">
        <f>COUNTIFS(Resp3[Vínculo],"docente",Resp3[3.02],B9)</f>
        <v>0</v>
      </c>
      <c r="E9" s="10">
        <f>COUNTIF(Resp3[3.02],B9)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COUNTIFS(Resp3[Vínculo],"tecnico",Resp3[3.02],B10)</f>
        <v>1</v>
      </c>
      <c r="D10" s="10">
        <f>COUNTIFS(Resp3[Vínculo],"docente",Resp3[3.02],B10)</f>
        <v>0</v>
      </c>
      <c r="E10" s="10">
        <f>COUNTIF(Resp3[3.02],B10)</f>
        <v>1</v>
      </c>
      <c r="F10" s="25">
        <f t="shared" si="0"/>
        <v>14.29</v>
      </c>
      <c r="G10" s="25">
        <f t="shared" si="1"/>
        <v>14.286</v>
      </c>
    </row>
    <row r="11" spans="1:7">
      <c r="B11" s="9" t="s">
        <v>16</v>
      </c>
      <c r="C11" s="10">
        <f>COUNTIFS(Resp3[Vínculo],"tecnico",Resp3[3.02],B11)</f>
        <v>1</v>
      </c>
      <c r="D11" s="10">
        <f>COUNTIFS(Resp3[Vínculo],"docente",Resp3[3.02],B11)</f>
        <v>0</v>
      </c>
      <c r="E11" s="10">
        <f>COUNTIF(Resp3[3.02],B11)</f>
        <v>1</v>
      </c>
      <c r="F11" s="25">
        <f t="shared" si="0"/>
        <v>14.29</v>
      </c>
      <c r="G11" s="25">
        <f t="shared" si="1"/>
        <v>14.286</v>
      </c>
    </row>
    <row r="12" spans="1:7">
      <c r="B12" s="26" t="s">
        <v>14</v>
      </c>
      <c r="C12" s="10">
        <f>COUNTIFS(Resp3[Vínculo],"tecnico",Resp3[3.02],B12)</f>
        <v>4</v>
      </c>
      <c r="D12" s="10">
        <f>COUNTIFS(Resp3[Vínculo],"docente",Resp3[3.02],B12)</f>
        <v>0</v>
      </c>
      <c r="E12" s="10">
        <f>COUNTIF(Resp3[3.02],B12)</f>
        <v>4</v>
      </c>
      <c r="F12" s="100">
        <f t="shared" si="0"/>
        <v>57.14</v>
      </c>
      <c r="G12" s="25">
        <f t="shared" si="1"/>
        <v>57.143000000000001</v>
      </c>
    </row>
    <row r="13" spans="1:7">
      <c r="B13" s="27" t="s">
        <v>164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172</v>
      </c>
      <c r="C18" s="22" t="s">
        <v>173</v>
      </c>
      <c r="D18" s="7" t="s">
        <v>158</v>
      </c>
      <c r="E18" s="35" t="s">
        <v>161</v>
      </c>
      <c r="F18" s="15"/>
      <c r="G18" s="10"/>
    </row>
    <row r="19" spans="2:7">
      <c r="B19" s="29" t="s">
        <v>83</v>
      </c>
      <c r="C19" s="29" t="s">
        <v>82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179</v>
      </c>
      <c r="C20" s="30" t="s">
        <v>75</v>
      </c>
      <c r="D20" s="15">
        <f>C7</f>
        <v>1</v>
      </c>
      <c r="E20" s="10">
        <f>ROUND(D20/SUM(D$19:D$22)*100,3)</f>
        <v>14.286</v>
      </c>
    </row>
    <row r="21" spans="2:7">
      <c r="B21" s="31" t="s">
        <v>13</v>
      </c>
      <c r="C21" s="31" t="s">
        <v>87</v>
      </c>
      <c r="D21" s="15">
        <f>C10</f>
        <v>1</v>
      </c>
      <c r="E21" s="10">
        <f>ROUND(D21/SUM(D$19:D$22)*100,3)</f>
        <v>14.286</v>
      </c>
    </row>
    <row r="22" spans="2:7">
      <c r="B22" s="32" t="s">
        <v>93</v>
      </c>
      <c r="C22" s="32" t="s">
        <v>92</v>
      </c>
      <c r="D22" s="33">
        <f>SUM(C11:C12)</f>
        <v>5</v>
      </c>
      <c r="E22" s="34">
        <f>ROUND(D22/SUM(D$19:D$22)*100,3)</f>
        <v>71.429000000000002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22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156</v>
      </c>
      <c r="B3" s="10" t="str">
        <f>VLOOKUP(A$2, Eixo[], 4, FALSE)</f>
        <v>Eixo3: Questão 3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COUNTIFS(Resp3[Vínculo],"tecnico",Resp3[3.03],B7)</f>
        <v>1</v>
      </c>
      <c r="D7" s="10">
        <f>COUNTIFS(Resp3[Vínculo],"docente",Resp3[3.03],B7)</f>
        <v>0</v>
      </c>
      <c r="E7" s="10">
        <f>COUNTIF(Resp3[3.03],B7)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30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COUNTIFS(Resp3[Vínculo],"tecnico",Resp3[3.03],B9)</f>
        <v>0</v>
      </c>
      <c r="D9" s="10">
        <f>COUNTIFS(Resp3[Vínculo],"docente",Resp3[3.03],B9)</f>
        <v>0</v>
      </c>
      <c r="E9" s="10">
        <f>COUNTIF(Resp3[3.03],B9)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COUNTIFS(Resp3[Vínculo],"tecnico",Resp3[3.03],B10)</f>
        <v>3</v>
      </c>
      <c r="D10" s="10">
        <f>COUNTIFS(Resp3[Vínculo],"docente",Resp3[3.03],B10)</f>
        <v>0</v>
      </c>
      <c r="E10" s="10">
        <f>COUNTIF(Resp3[3.03],B10)</f>
        <v>3</v>
      </c>
      <c r="F10" s="25">
        <f t="shared" si="0"/>
        <v>42.86</v>
      </c>
      <c r="G10" s="25">
        <f t="shared" si="1"/>
        <v>42.856999999999999</v>
      </c>
    </row>
    <row r="11" spans="1:7">
      <c r="B11" s="9" t="s">
        <v>16</v>
      </c>
      <c r="C11" s="10">
        <f>COUNTIFS(Resp3[Vínculo],"tecnico",Resp3[3.03],B11)</f>
        <v>2</v>
      </c>
      <c r="D11" s="10">
        <f>COUNTIFS(Resp3[Vínculo],"docente",Resp3[3.03],B11)</f>
        <v>0</v>
      </c>
      <c r="E11" s="10">
        <f>COUNTIF(Resp3[3.03],B11)</f>
        <v>2</v>
      </c>
      <c r="F11" s="25">
        <f t="shared" si="0"/>
        <v>28.57</v>
      </c>
      <c r="G11" s="25">
        <f t="shared" si="1"/>
        <v>28.571000000000002</v>
      </c>
    </row>
    <row r="12" spans="1:7">
      <c r="B12" s="26" t="s">
        <v>14</v>
      </c>
      <c r="C12" s="10">
        <f>COUNTIFS(Resp3[Vínculo],"tecnico",Resp3[3.03],B12)</f>
        <v>1</v>
      </c>
      <c r="D12" s="10">
        <f>COUNTIFS(Resp3[Vínculo],"docente",Resp3[3.03],B12)</f>
        <v>0</v>
      </c>
      <c r="E12" s="10">
        <f>COUNTIF(Resp3[3.03],B12)</f>
        <v>1</v>
      </c>
      <c r="F12" s="100">
        <f t="shared" si="0"/>
        <v>14.29</v>
      </c>
      <c r="G12" s="25">
        <f t="shared" si="1"/>
        <v>14.286</v>
      </c>
    </row>
    <row r="13" spans="1:7">
      <c r="B13" s="27" t="s">
        <v>164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</v>
      </c>
    </row>
    <row r="17" spans="2:7">
      <c r="D17" s="13"/>
      <c r="E17" s="13"/>
      <c r="G17" s="9"/>
    </row>
    <row r="18" spans="2:7">
      <c r="B18" s="22" t="s">
        <v>172</v>
      </c>
      <c r="C18" s="22" t="s">
        <v>173</v>
      </c>
      <c r="D18" s="7" t="s">
        <v>158</v>
      </c>
      <c r="E18" s="41" t="s">
        <v>161</v>
      </c>
      <c r="F18" s="15"/>
      <c r="G18" s="10"/>
    </row>
    <row r="19" spans="2:7">
      <c r="B19" s="29" t="s">
        <v>83</v>
      </c>
      <c r="C19" s="29" t="s">
        <v>82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75</v>
      </c>
      <c r="D20" s="15">
        <f>C7</f>
        <v>1</v>
      </c>
      <c r="E20" s="44">
        <f>ROUND(D20/SUM(D$19:D$22)*100,3)</f>
        <v>14.286</v>
      </c>
      <c r="F20" s="15"/>
      <c r="G20" s="10"/>
    </row>
    <row r="21" spans="2:7">
      <c r="B21" s="31" t="s">
        <v>13</v>
      </c>
      <c r="C21" s="31" t="s">
        <v>87</v>
      </c>
      <c r="D21" s="15">
        <f>C10</f>
        <v>3</v>
      </c>
      <c r="E21" s="44">
        <f>ROUND(D21/SUM(D$19:D$22)*100,3)</f>
        <v>42.856999999999999</v>
      </c>
      <c r="F21" s="15"/>
      <c r="G21" s="10"/>
    </row>
    <row r="22" spans="2:7">
      <c r="B22" s="32" t="s">
        <v>93</v>
      </c>
      <c r="C22" s="32" t="s">
        <v>92</v>
      </c>
      <c r="D22" s="33">
        <f>SUM(C11:C12)</f>
        <v>3</v>
      </c>
      <c r="E22" s="45">
        <f>ROUND(D22/SUM(D$19:D$22)*100,3)</f>
        <v>42.856999999999999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156</v>
      </c>
      <c r="B3" s="10" t="str">
        <f>VLOOKUP(A$2, Eixo[], 4, FALSE)</f>
        <v>Eixo3: Questão 4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COUNTIFS(Resp3[Vínculo],"tecnico",Resp3[3.04],B7)</f>
        <v>1</v>
      </c>
      <c r="D7" s="10">
        <f>COUNTIFS(Resp3[Vínculo],"docente",Resp3[3.04],B7)</f>
        <v>0</v>
      </c>
      <c r="E7" s="10">
        <f>COUNTIF(Resp3[3.04],B7)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30</v>
      </c>
      <c r="C8" s="10">
        <f>COUNTIFS(Resp3[Vínculo],"tecnico",Resp3[3.04],B8)</f>
        <v>1</v>
      </c>
      <c r="D8" s="10">
        <f>COUNTIFS(Resp3[Vínculo],"docente",Resp3[3.04],B8)</f>
        <v>0</v>
      </c>
      <c r="E8" s="10">
        <f>COUNTIF(Resp3[3.04],B8)</f>
        <v>1</v>
      </c>
      <c r="F8" s="25">
        <f t="shared" si="0"/>
        <v>14.29</v>
      </c>
      <c r="G8" s="25">
        <f t="shared" ref="G8:G12" si="1">ROUND($E8/SUM($E$7:$E$12)*100,3)</f>
        <v>14.286</v>
      </c>
    </row>
    <row r="9" spans="1:7">
      <c r="B9" s="9" t="s">
        <v>178</v>
      </c>
      <c r="C9" s="10">
        <f>COUNTIFS(Resp3[Vínculo],"tecnico",Resp3[3.04],B9)</f>
        <v>0</v>
      </c>
      <c r="D9" s="10">
        <f>COUNTIFS(Resp3[Vínculo],"docente",Resp3[3.04],B9)</f>
        <v>0</v>
      </c>
      <c r="E9" s="10">
        <f>COUNTIF(Resp3[3.04],B9)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COUNTIFS(Resp3[Vínculo],"tecnico",Resp3[3.04],B10)</f>
        <v>1</v>
      </c>
      <c r="D10" s="10">
        <f>COUNTIFS(Resp3[Vínculo],"docente",Resp3[3.04],B10)</f>
        <v>0</v>
      </c>
      <c r="E10" s="10">
        <f>COUNTIF(Resp3[3.04],B10)</f>
        <v>1</v>
      </c>
      <c r="F10" s="25">
        <f t="shared" si="0"/>
        <v>14.29</v>
      </c>
      <c r="G10" s="25">
        <f t="shared" si="1"/>
        <v>14.286</v>
      </c>
    </row>
    <row r="11" spans="1:7">
      <c r="B11" s="9" t="s">
        <v>16</v>
      </c>
      <c r="C11" s="10">
        <f>COUNTIFS(Resp3[Vínculo],"tecnico",Resp3[3.04],B11)</f>
        <v>1</v>
      </c>
      <c r="D11" s="10">
        <f>COUNTIFS(Resp3[Vínculo],"docente",Resp3[3.04],B11)</f>
        <v>0</v>
      </c>
      <c r="E11" s="10">
        <f>COUNTIF(Resp3[3.04],B11)</f>
        <v>1</v>
      </c>
      <c r="F11" s="25">
        <f t="shared" si="0"/>
        <v>14.29</v>
      </c>
      <c r="G11" s="25">
        <f t="shared" si="1"/>
        <v>14.286</v>
      </c>
    </row>
    <row r="12" spans="1:7">
      <c r="B12" s="26" t="s">
        <v>14</v>
      </c>
      <c r="C12" s="10">
        <f>COUNTIFS(Resp3[Vínculo],"tecnico",Resp3[3.04],B12)</f>
        <v>3</v>
      </c>
      <c r="D12" s="10">
        <f>COUNTIFS(Resp3[Vínculo],"docente",Resp3[3.04],B12)</f>
        <v>0</v>
      </c>
      <c r="E12" s="10">
        <f>COUNTIF(Resp3[3.04],B12)</f>
        <v>3</v>
      </c>
      <c r="F12" s="100">
        <f t="shared" si="0"/>
        <v>42.86</v>
      </c>
      <c r="G12" s="25">
        <f t="shared" si="1"/>
        <v>42.856999999999999</v>
      </c>
    </row>
    <row r="13" spans="1:7">
      <c r="B13" s="27" t="s">
        <v>164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172</v>
      </c>
      <c r="C18" s="26" t="s">
        <v>173</v>
      </c>
      <c r="D18" s="48" t="s">
        <v>158</v>
      </c>
      <c r="E18" s="49" t="s">
        <v>161</v>
      </c>
      <c r="F18" s="15"/>
      <c r="G18" s="10"/>
    </row>
    <row r="19" spans="2:7">
      <c r="B19" s="29" t="s">
        <v>83</v>
      </c>
      <c r="C19" s="29" t="s">
        <v>82</v>
      </c>
      <c r="D19" s="15">
        <f>SUM(C8:C9)</f>
        <v>1</v>
      </c>
      <c r="E19" s="43">
        <f>ROUND(D19/SUM(D$19:D$22)*100,3)</f>
        <v>14.286</v>
      </c>
      <c r="F19" s="15"/>
      <c r="G19" s="10"/>
    </row>
    <row r="20" spans="2:7">
      <c r="B20" s="30" t="s">
        <v>179</v>
      </c>
      <c r="C20" s="30" t="s">
        <v>75</v>
      </c>
      <c r="D20" s="15">
        <f>C7</f>
        <v>1</v>
      </c>
      <c r="E20" s="44">
        <f>ROUND(D20/SUM(D$19:D$22)*100,3)</f>
        <v>14.286</v>
      </c>
    </row>
    <row r="21" spans="2:7">
      <c r="B21" s="31" t="s">
        <v>13</v>
      </c>
      <c r="C21" s="31" t="s">
        <v>87</v>
      </c>
      <c r="D21" s="15">
        <f>C10</f>
        <v>1</v>
      </c>
      <c r="E21" s="44">
        <f>ROUND(D21/SUM(D$19:D$22)*100,3)</f>
        <v>14.286</v>
      </c>
    </row>
    <row r="22" spans="2:7">
      <c r="B22" s="32" t="s">
        <v>93</v>
      </c>
      <c r="C22" s="32" t="s">
        <v>92</v>
      </c>
      <c r="D22" s="33">
        <f>SUM(C11:C12)</f>
        <v>4</v>
      </c>
      <c r="E22" s="45">
        <f>ROUND(D22/SUM(D$19:D$22)*100,3)</f>
        <v>57.143000000000001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workbookViewId="0">
      <selection activeCell="I32" sqref="I32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156</v>
      </c>
      <c r="B3" s="10" t="str">
        <f>VLOOKUP(A$2, Eixo[], 4, FALSE)</f>
        <v>Eixo3: Questão 5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COUNTIFS(Resp3[Vínculo],"tecnico",Resp3[3.05],B7)</f>
        <v>1</v>
      </c>
      <c r="D7" s="10">
        <f>COUNTIFS(Resp3[Vínculo],"docente",Resp3[3.05],B7)</f>
        <v>0</v>
      </c>
      <c r="E7" s="10">
        <f>COUNTIF(Resp3[3.05],B7)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30</v>
      </c>
      <c r="C8" s="10">
        <f>COUNTIFS(Resp3[Vínculo],"tecnico",Resp3[3.05],B8)</f>
        <v>0</v>
      </c>
      <c r="D8" s="10">
        <f>COUNTIFS(Resp3[Vínculo],"docente",Resp3[3.05],B8)</f>
        <v>0</v>
      </c>
      <c r="E8" s="10">
        <f>COUNTIF(Resp3[3.05],B8)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COUNTIFS(Resp3[Vínculo],"tecnico",Resp3[3.05],B9)</f>
        <v>0</v>
      </c>
      <c r="D9" s="10">
        <f>COUNTIFS(Resp3[Vínculo],"docente",Resp3[3.05],B9)</f>
        <v>0</v>
      </c>
      <c r="E9" s="10">
        <f>COUNTIF(Resp3[3.05],B9)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COUNTIFS(Resp3[Vínculo],"tecnico",Resp3[3.05],B10)</f>
        <v>2</v>
      </c>
      <c r="D10" s="10">
        <f>COUNTIFS(Resp3[Vínculo],"docente",Resp3[3.05],B10)</f>
        <v>0</v>
      </c>
      <c r="E10" s="10">
        <f>COUNTIF(Resp3[3.05],B10)</f>
        <v>2</v>
      </c>
      <c r="F10" s="25">
        <f t="shared" si="0"/>
        <v>28.57</v>
      </c>
      <c r="G10" s="25">
        <f t="shared" si="1"/>
        <v>28.571000000000002</v>
      </c>
    </row>
    <row r="11" spans="1:7">
      <c r="B11" s="9" t="s">
        <v>16</v>
      </c>
      <c r="C11" s="10">
        <f>COUNTIFS(Resp3[Vínculo],"tecnico",Resp3[3.05],B11)</f>
        <v>2</v>
      </c>
      <c r="D11" s="10">
        <f>COUNTIFS(Resp3[Vínculo],"docente",Resp3[3.05],B11)</f>
        <v>0</v>
      </c>
      <c r="E11" s="10">
        <f>COUNTIF(Resp3[3.05],B11)</f>
        <v>2</v>
      </c>
      <c r="F11" s="25">
        <f t="shared" si="0"/>
        <v>28.57</v>
      </c>
      <c r="G11" s="25">
        <f t="shared" si="1"/>
        <v>28.571000000000002</v>
      </c>
    </row>
    <row r="12" spans="1:7">
      <c r="B12" s="26" t="s">
        <v>14</v>
      </c>
      <c r="C12" s="10">
        <f>COUNTIFS(Resp3[Vínculo],"tecnico",Resp3[3.05],B12)</f>
        <v>2</v>
      </c>
      <c r="D12" s="10">
        <f>COUNTIFS(Resp3[Vínculo],"docente",Resp3[3.05],B12)</f>
        <v>0</v>
      </c>
      <c r="E12" s="10">
        <f>COUNTIF(Resp3[3.05],B12)</f>
        <v>2</v>
      </c>
      <c r="F12" s="100">
        <f t="shared" si="0"/>
        <v>28.57</v>
      </c>
      <c r="G12" s="25">
        <f t="shared" si="1"/>
        <v>28.571000000000002</v>
      </c>
    </row>
    <row r="13" spans="1:7">
      <c r="B13" s="27" t="s">
        <v>164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172</v>
      </c>
      <c r="C18" s="22" t="s">
        <v>173</v>
      </c>
      <c r="D18" s="7" t="s">
        <v>158</v>
      </c>
      <c r="E18" s="8" t="s">
        <v>161</v>
      </c>
      <c r="F18" s="15"/>
      <c r="G18" s="10"/>
    </row>
    <row r="19" spans="2:7">
      <c r="B19" s="29" t="s">
        <v>83</v>
      </c>
      <c r="C19" s="29" t="s">
        <v>82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75</v>
      </c>
      <c r="D20" s="15">
        <f>C7</f>
        <v>1</v>
      </c>
      <c r="E20" s="44">
        <f>ROUND(D20/SUM(D$19:D$22)*100,3)</f>
        <v>14.286</v>
      </c>
    </row>
    <row r="21" spans="2:7">
      <c r="B21" s="31" t="s">
        <v>13</v>
      </c>
      <c r="C21" s="31" t="s">
        <v>87</v>
      </c>
      <c r="D21" s="15">
        <f>C10</f>
        <v>2</v>
      </c>
      <c r="E21" s="44">
        <f>ROUND(D21/SUM(D$19:D$22)*100,3)</f>
        <v>28.571000000000002</v>
      </c>
    </row>
    <row r="22" spans="2:7">
      <c r="B22" s="51" t="s">
        <v>93</v>
      </c>
      <c r="C22" s="51" t="s">
        <v>92</v>
      </c>
      <c r="D22" s="15">
        <f>SUM(C11:C12)</f>
        <v>4</v>
      </c>
      <c r="E22" s="44">
        <f>ROUND(D22/SUM(D$19:D$22)*100,3)</f>
        <v>57.143000000000001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156</v>
      </c>
      <c r="B3" s="10" t="str">
        <f>VLOOKUP(A$2, Eixo[], 4, FALSE)</f>
        <v>Eixo3: Questão 6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COUNTIFS(Resp3[Vínculo],"tecnico",Resp3[3.06],B7)</f>
        <v>1</v>
      </c>
      <c r="D7" s="10">
        <f>COUNTIFS(Resp3[Vínculo],"docente",Resp3[3.06],B7)</f>
        <v>0</v>
      </c>
      <c r="E7" s="10">
        <f>COUNTIF(Resp3[3.06],B7)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30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COUNTIFS(Resp3[Vínculo],"tecnico",Resp3[3.06],B9)</f>
        <v>0</v>
      </c>
      <c r="D9" s="10">
        <f>COUNTIFS(Resp3[Vínculo],"docente",Resp3[3.06],B9)</f>
        <v>0</v>
      </c>
      <c r="E9" s="10">
        <f>COUNTIF(Resp3[3.06],B9)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COUNTIFS(Resp3[Vínculo],"tecnico",Resp3[3.06],B10)</f>
        <v>1</v>
      </c>
      <c r="D10" s="10">
        <f>COUNTIFS(Resp3[Vínculo],"docente",Resp3[3.06],B10)</f>
        <v>0</v>
      </c>
      <c r="E10" s="10">
        <f>COUNTIF(Resp3[3.06],B10)</f>
        <v>1</v>
      </c>
      <c r="F10" s="25">
        <f t="shared" si="0"/>
        <v>14.29</v>
      </c>
      <c r="G10" s="25">
        <f t="shared" si="1"/>
        <v>14.286</v>
      </c>
    </row>
    <row r="11" spans="1:7">
      <c r="B11" s="9" t="s">
        <v>16</v>
      </c>
      <c r="C11" s="10">
        <f>COUNTIFS(Resp3[Vínculo],"tecnico",Resp3[3.06],B11)</f>
        <v>1</v>
      </c>
      <c r="D11" s="10">
        <f>COUNTIFS(Resp3[Vínculo],"docente",Resp3[3.06],B11)</f>
        <v>0</v>
      </c>
      <c r="E11" s="10">
        <f>COUNTIF(Resp3[3.06],B11)</f>
        <v>1</v>
      </c>
      <c r="F11" s="25">
        <f t="shared" si="0"/>
        <v>14.29</v>
      </c>
      <c r="G11" s="25">
        <f t="shared" si="1"/>
        <v>14.286</v>
      </c>
    </row>
    <row r="12" spans="1:7">
      <c r="B12" s="26" t="s">
        <v>14</v>
      </c>
      <c r="C12" s="10">
        <f>COUNTIFS(Resp3[Vínculo],"tecnico",Resp3[3.06],B12)</f>
        <v>4</v>
      </c>
      <c r="D12" s="10">
        <f>COUNTIFS(Resp3[Vínculo],"docente",Resp3[3.06],B12)</f>
        <v>0</v>
      </c>
      <c r="E12" s="10">
        <f>COUNTIF(Resp3[3.06],B12)</f>
        <v>4</v>
      </c>
      <c r="F12" s="100">
        <f t="shared" si="0"/>
        <v>57.14</v>
      </c>
      <c r="G12" s="25">
        <f t="shared" si="1"/>
        <v>57.143000000000001</v>
      </c>
    </row>
    <row r="13" spans="1:7">
      <c r="B13" s="27" t="s">
        <v>164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172</v>
      </c>
      <c r="C18" s="22" t="s">
        <v>173</v>
      </c>
      <c r="D18" s="7" t="s">
        <v>158</v>
      </c>
      <c r="E18" s="8" t="s">
        <v>161</v>
      </c>
      <c r="F18" s="15"/>
      <c r="G18" s="10"/>
    </row>
    <row r="19" spans="2:7">
      <c r="B19" s="29" t="s">
        <v>83</v>
      </c>
      <c r="C19" s="29" t="s">
        <v>82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75</v>
      </c>
      <c r="D20" s="15">
        <f>C7</f>
        <v>1</v>
      </c>
      <c r="E20" s="44">
        <f>ROUND(D20/SUM(D$19:D$22)*100,3)</f>
        <v>14.286</v>
      </c>
    </row>
    <row r="21" spans="2:7">
      <c r="B21" s="31" t="s">
        <v>13</v>
      </c>
      <c r="C21" s="31" t="s">
        <v>87</v>
      </c>
      <c r="D21" s="15">
        <f>C10</f>
        <v>1</v>
      </c>
      <c r="E21" s="44">
        <f>ROUND(D21/SUM(D$19:D$22)*100,3)</f>
        <v>14.286</v>
      </c>
    </row>
    <row r="22" spans="2:7">
      <c r="B22" s="32" t="s">
        <v>93</v>
      </c>
      <c r="C22" s="32" t="s">
        <v>92</v>
      </c>
      <c r="D22" s="33">
        <f>SUM(C11:C12)</f>
        <v>5</v>
      </c>
      <c r="E22" s="45">
        <f>ROUND(D22/SUM(D$19:D$22)*100,3)</f>
        <v>71.429000000000002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I31" sqref="I31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156</v>
      </c>
      <c r="B3" s="10" t="str">
        <f>VLOOKUP(A$2, Eixo[], 4, FALSE)</f>
        <v>Eixo3: Questão 7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COUNTIFS(Resp3[Vínculo],"tecnico",Resp3[3.07],B7)</f>
        <v>1</v>
      </c>
      <c r="D7" s="10">
        <f>COUNTIFS(Resp3[Vínculo],"docente",Resp3[3.07],B7)</f>
        <v>0</v>
      </c>
      <c r="E7" s="10">
        <f>COUNTIF(Resp3[3.07],B7)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30</v>
      </c>
      <c r="C8" s="10">
        <f>COUNTIFS(Resp3[Vínculo],"tecnico",Resp3[3.07],B8)</f>
        <v>0</v>
      </c>
      <c r="D8" s="10">
        <f>COUNTIFS(Resp3[Vínculo],"docente",Resp3[3.07],B8)</f>
        <v>0</v>
      </c>
      <c r="E8" s="10">
        <f>COUNTIF(Resp3[3.07],B8)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COUNTIFS(Resp3[Vínculo],"tecnico",Resp3[3.07],B9)</f>
        <v>0</v>
      </c>
      <c r="D9" s="10">
        <f>COUNTIFS(Resp3[Vínculo],"docente",Resp3[3.07],B9)</f>
        <v>0</v>
      </c>
      <c r="E9" s="10">
        <f>COUNTIF(Resp3[3.07],B9)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COUNTIFS(Resp3[Vínculo],"tecnico",Resp3[3.07],B10)</f>
        <v>1</v>
      </c>
      <c r="D10" s="10">
        <f>COUNTIFS(Resp3[Vínculo],"docente",Resp3[3.07],B10)</f>
        <v>0</v>
      </c>
      <c r="E10" s="10">
        <f>COUNTIF(Resp3[3.07],B10)</f>
        <v>1</v>
      </c>
      <c r="F10" s="25">
        <f t="shared" si="0"/>
        <v>14.29</v>
      </c>
      <c r="G10" s="25">
        <f t="shared" si="1"/>
        <v>14.286</v>
      </c>
    </row>
    <row r="11" spans="1:7">
      <c r="B11" s="9" t="s">
        <v>16</v>
      </c>
      <c r="C11" s="10">
        <f>COUNTIFS(Resp3[Vínculo],"tecnico",Resp3[3.07],B11)</f>
        <v>1</v>
      </c>
      <c r="D11" s="10">
        <f>COUNTIFS(Resp3[Vínculo],"docente",Resp3[3.07],B11)</f>
        <v>0</v>
      </c>
      <c r="E11" s="10">
        <f>COUNTIF(Resp3[3.07],B11)</f>
        <v>1</v>
      </c>
      <c r="F11" s="25">
        <f t="shared" si="0"/>
        <v>14.29</v>
      </c>
      <c r="G11" s="25">
        <f t="shared" si="1"/>
        <v>14.286</v>
      </c>
    </row>
    <row r="12" spans="1:7">
      <c r="B12" s="26" t="s">
        <v>14</v>
      </c>
      <c r="C12" s="10">
        <f>COUNTIFS(Resp3[Vínculo],"tecnico",Resp3[3.07],B12)</f>
        <v>4</v>
      </c>
      <c r="D12" s="10">
        <f>COUNTIFS(Resp3[Vínculo],"docente",Resp3[3.07],B12)</f>
        <v>0</v>
      </c>
      <c r="E12" s="10">
        <f>COUNTIF(Resp3[3.07],B12)</f>
        <v>4</v>
      </c>
      <c r="F12" s="100">
        <f t="shared" si="0"/>
        <v>57.14</v>
      </c>
      <c r="G12" s="25">
        <f t="shared" si="1"/>
        <v>57.143000000000001</v>
      </c>
    </row>
    <row r="13" spans="1:7">
      <c r="B13" s="27" t="s">
        <v>164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172</v>
      </c>
      <c r="C18" s="26" t="s">
        <v>173</v>
      </c>
      <c r="D18" s="48" t="s">
        <v>158</v>
      </c>
      <c r="E18" s="50" t="s">
        <v>161</v>
      </c>
      <c r="F18" s="15"/>
      <c r="G18" s="10"/>
    </row>
    <row r="19" spans="2:7">
      <c r="B19" s="29" t="s">
        <v>83</v>
      </c>
      <c r="C19" s="29" t="s">
        <v>82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75</v>
      </c>
      <c r="D20" s="15">
        <f>C7</f>
        <v>1</v>
      </c>
      <c r="E20" s="44">
        <f>ROUND(D20/SUM(D$19:D$22)*100,3)</f>
        <v>14.286</v>
      </c>
    </row>
    <row r="21" spans="2:7">
      <c r="B21" s="31" t="s">
        <v>13</v>
      </c>
      <c r="C21" s="31" t="s">
        <v>87</v>
      </c>
      <c r="D21" s="15">
        <f>C10</f>
        <v>1</v>
      </c>
      <c r="E21" s="44">
        <f>ROUND(D21/SUM(D$19:D$22)*100,3)</f>
        <v>14.286</v>
      </c>
    </row>
    <row r="22" spans="2:7">
      <c r="B22" s="32" t="s">
        <v>93</v>
      </c>
      <c r="C22" s="32" t="s">
        <v>92</v>
      </c>
      <c r="D22" s="33">
        <f>SUM(C11:C12)</f>
        <v>5</v>
      </c>
      <c r="E22" s="45">
        <f>ROUND(D22/SUM(D$19:D$22)*100,3)</f>
        <v>71.429000000000002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zoomScale="90" zoomScaleNormal="90" workbookViewId="0">
      <selection activeCell="B2" sqref="B2:B8"/>
    </sheetView>
  </sheetViews>
  <sheetFormatPr defaultColWidth="18" defaultRowHeight="15"/>
  <cols>
    <col min="1" max="1" width="18" style="79" customWidth="1"/>
    <col min="2" max="2" width="18" style="78"/>
    <col min="3" max="3" width="11.140625" style="78" customWidth="1"/>
    <col min="4" max="4" width="22.85546875" style="78" bestFit="1" customWidth="1"/>
    <col min="5" max="7" width="18" style="78"/>
    <col min="8" max="8" width="18" style="78" customWidth="1"/>
    <col min="9" max="9" width="18" style="78"/>
    <col min="10" max="10" width="18" style="78" customWidth="1"/>
    <col min="11" max="16384" width="18" style="78"/>
  </cols>
  <sheetData>
    <row r="1" spans="1:12" s="77" customFormat="1" ht="12.75" customHeight="1">
      <c r="A1" s="75" t="s">
        <v>0</v>
      </c>
      <c r="B1" s="76" t="s">
        <v>1</v>
      </c>
      <c r="C1" s="75" t="s">
        <v>20</v>
      </c>
      <c r="D1" s="75" t="s">
        <v>21</v>
      </c>
      <c r="E1" s="75" t="s">
        <v>22</v>
      </c>
      <c r="F1" s="75" t="s">
        <v>23</v>
      </c>
      <c r="G1" s="75" t="s">
        <v>24</v>
      </c>
      <c r="H1" s="75" t="s">
        <v>25</v>
      </c>
      <c r="I1" s="75" t="s">
        <v>26</v>
      </c>
      <c r="J1" s="75" t="s">
        <v>27</v>
      </c>
      <c r="K1" s="75" t="s">
        <v>28</v>
      </c>
      <c r="L1" s="75" t="s">
        <v>29</v>
      </c>
    </row>
    <row r="2" spans="1:12">
      <c r="A2" s="78" t="s">
        <v>8</v>
      </c>
      <c r="B2" s="78" t="s">
        <v>9</v>
      </c>
      <c r="C2" s="78" t="s">
        <v>16</v>
      </c>
      <c r="D2" s="78" t="s">
        <v>14</v>
      </c>
      <c r="E2" s="78" t="s">
        <v>13</v>
      </c>
      <c r="F2" s="78" t="s">
        <v>14</v>
      </c>
      <c r="G2" s="78" t="s">
        <v>13</v>
      </c>
      <c r="H2" s="78" t="s">
        <v>13</v>
      </c>
      <c r="I2" s="78" t="s">
        <v>13</v>
      </c>
      <c r="J2" s="78" t="s">
        <v>13</v>
      </c>
      <c r="K2" s="78" t="s">
        <v>13</v>
      </c>
      <c r="L2" s="78" t="s">
        <v>13</v>
      </c>
    </row>
    <row r="3" spans="1:12">
      <c r="A3" s="78" t="s">
        <v>8</v>
      </c>
      <c r="B3" s="78" t="s">
        <v>9</v>
      </c>
      <c r="C3" s="78" t="s">
        <v>14</v>
      </c>
      <c r="D3" s="78" t="s">
        <v>14</v>
      </c>
      <c r="E3" s="78" t="s">
        <v>14</v>
      </c>
      <c r="F3" s="78" t="s">
        <v>14</v>
      </c>
      <c r="G3" s="78" t="s">
        <v>14</v>
      </c>
      <c r="H3" s="78" t="s">
        <v>14</v>
      </c>
      <c r="I3" s="78" t="s">
        <v>14</v>
      </c>
      <c r="J3" s="78" t="s">
        <v>14</v>
      </c>
      <c r="K3" s="78" t="s">
        <v>14</v>
      </c>
      <c r="L3" s="78" t="s">
        <v>14</v>
      </c>
    </row>
    <row r="4" spans="1:12">
      <c r="A4" s="78" t="s">
        <v>8</v>
      </c>
      <c r="B4" s="78" t="s">
        <v>9</v>
      </c>
      <c r="C4" s="78" t="s">
        <v>14</v>
      </c>
      <c r="D4" s="78" t="s">
        <v>14</v>
      </c>
      <c r="E4" s="78" t="s">
        <v>16</v>
      </c>
      <c r="F4" s="78" t="s">
        <v>14</v>
      </c>
      <c r="G4" s="78" t="s">
        <v>14</v>
      </c>
      <c r="H4" s="78" t="s">
        <v>14</v>
      </c>
      <c r="I4" s="78" t="s">
        <v>14</v>
      </c>
      <c r="J4" s="78" t="s">
        <v>14</v>
      </c>
      <c r="K4" s="78" t="s">
        <v>14</v>
      </c>
      <c r="L4" s="78" t="s">
        <v>14</v>
      </c>
    </row>
    <row r="5" spans="1:12">
      <c r="A5" s="78" t="s">
        <v>8</v>
      </c>
      <c r="B5" s="78" t="s">
        <v>9</v>
      </c>
      <c r="C5" s="78" t="s">
        <v>19</v>
      </c>
      <c r="D5" s="78" t="s">
        <v>19</v>
      </c>
      <c r="E5" s="78" t="s">
        <v>19</v>
      </c>
      <c r="F5" s="78" t="s">
        <v>19</v>
      </c>
      <c r="G5" s="78" t="s">
        <v>19</v>
      </c>
      <c r="H5" s="78" t="s">
        <v>19</v>
      </c>
      <c r="I5" s="78" t="s">
        <v>19</v>
      </c>
      <c r="J5" s="78" t="s">
        <v>19</v>
      </c>
      <c r="K5" s="78" t="s">
        <v>19</v>
      </c>
      <c r="L5" s="78" t="s">
        <v>19</v>
      </c>
    </row>
    <row r="6" spans="1:12">
      <c r="A6" s="78" t="s">
        <v>8</v>
      </c>
      <c r="B6" s="78" t="s">
        <v>9</v>
      </c>
      <c r="C6" s="78" t="s">
        <v>13</v>
      </c>
      <c r="D6" s="78" t="s">
        <v>14</v>
      </c>
      <c r="E6" s="78" t="s">
        <v>16</v>
      </c>
      <c r="F6" s="78" t="s">
        <v>16</v>
      </c>
      <c r="G6" s="78" t="s">
        <v>16</v>
      </c>
      <c r="H6" s="78" t="s">
        <v>14</v>
      </c>
      <c r="I6" s="78" t="s">
        <v>14</v>
      </c>
      <c r="J6" s="78" t="s">
        <v>14</v>
      </c>
      <c r="K6" s="78" t="s">
        <v>14</v>
      </c>
      <c r="L6" s="78" t="s">
        <v>16</v>
      </c>
    </row>
    <row r="7" spans="1:12">
      <c r="A7" s="78" t="s">
        <v>8</v>
      </c>
      <c r="B7" s="78" t="s">
        <v>9</v>
      </c>
      <c r="C7" s="78" t="s">
        <v>13</v>
      </c>
      <c r="D7" s="78" t="s">
        <v>13</v>
      </c>
      <c r="E7" s="78" t="s">
        <v>13</v>
      </c>
      <c r="F7" s="78" t="s">
        <v>13</v>
      </c>
      <c r="G7" s="78" t="s">
        <v>13</v>
      </c>
      <c r="H7" s="78" t="s">
        <v>16</v>
      </c>
      <c r="I7" s="78" t="s">
        <v>14</v>
      </c>
      <c r="J7" s="78" t="s">
        <v>14</v>
      </c>
      <c r="K7" s="78" t="s">
        <v>14</v>
      </c>
      <c r="L7" s="78" t="s">
        <v>14</v>
      </c>
    </row>
    <row r="8" spans="1:12">
      <c r="A8" s="78" t="s">
        <v>8</v>
      </c>
      <c r="B8" s="78" t="s">
        <v>9</v>
      </c>
      <c r="C8" s="78" t="s">
        <v>13</v>
      </c>
      <c r="D8" s="78" t="s">
        <v>16</v>
      </c>
      <c r="E8" s="78" t="s">
        <v>13</v>
      </c>
      <c r="F8" s="78" t="s">
        <v>30</v>
      </c>
      <c r="G8" s="78" t="s">
        <v>16</v>
      </c>
      <c r="H8" s="78" t="s">
        <v>14</v>
      </c>
      <c r="I8" s="78" t="s">
        <v>16</v>
      </c>
      <c r="J8" s="78" t="s">
        <v>14</v>
      </c>
      <c r="K8" s="78" t="s">
        <v>14</v>
      </c>
      <c r="L8" s="78" t="s">
        <v>14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156</v>
      </c>
      <c r="B3" s="10" t="str">
        <f>VLOOKUP(A$2, Eixo[], 4, FALSE)</f>
        <v>Eixo3: Questão 8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COUNTIFS(Resp3[Vínculo],"tecnico",Resp3[3.08],B7)</f>
        <v>1</v>
      </c>
      <c r="D7" s="10">
        <f>COUNTIFS(Resp3[Vínculo],"docente",Resp3[3.08],B7)</f>
        <v>0</v>
      </c>
      <c r="E7" s="10">
        <f>COUNTIF(Resp3[3.08],B7)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30</v>
      </c>
      <c r="C8" s="10">
        <f>COUNTIFS(Resp3[Vínculo],"tecnico",Resp3[3.08],B8)</f>
        <v>0</v>
      </c>
      <c r="D8" s="10">
        <f>COUNTIFS(Resp3[Vínculo],"docente",Resp3[3.08],B8)</f>
        <v>0</v>
      </c>
      <c r="E8" s="10">
        <f>COUNTIF(Resp3[3.08],B8)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COUNTIFS(Resp3[Vínculo],"tecnico",Resp3[3.08],B9)</f>
        <v>0</v>
      </c>
      <c r="D9" s="10">
        <f>COUNTIFS(Resp3[Vínculo],"docente",Resp3[3.08],B9)</f>
        <v>0</v>
      </c>
      <c r="E9" s="10">
        <f>COUNTIF(Resp3[3.08],B9)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COUNTIFS(Resp3[Vínculo],"tecnico",Resp3[3.08],B10)</f>
        <v>1</v>
      </c>
      <c r="D10" s="10">
        <f>COUNTIFS(Resp3[Vínculo],"docente",Resp3[3.08],B10)</f>
        <v>0</v>
      </c>
      <c r="E10" s="10">
        <f>COUNTIF(Resp3[3.08],B10)</f>
        <v>1</v>
      </c>
      <c r="F10" s="25">
        <f t="shared" si="0"/>
        <v>14.29</v>
      </c>
      <c r="G10" s="25">
        <f t="shared" si="1"/>
        <v>14.286</v>
      </c>
    </row>
    <row r="11" spans="1:7">
      <c r="B11" s="9" t="s">
        <v>16</v>
      </c>
      <c r="C11" s="10">
        <f>COUNTIFS(Resp3[Vínculo],"tecnico",Resp3[3.08],B11)</f>
        <v>0</v>
      </c>
      <c r="D11" s="10">
        <f>COUNTIFS(Resp3[Vínculo],"docente",Resp3[3.08],B11)</f>
        <v>0</v>
      </c>
      <c r="E11" s="10">
        <f>COUNTIF(Resp3[3.08],B11)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14</v>
      </c>
      <c r="C12" s="10">
        <f>COUNTIFS(Resp3[Vínculo],"tecnico",Resp3[3.08],B12)</f>
        <v>5</v>
      </c>
      <c r="D12" s="10">
        <f>COUNTIFS(Resp3[Vínculo],"docente",Resp3[3.08],B12)</f>
        <v>0</v>
      </c>
      <c r="E12" s="10">
        <f>COUNTIF(Resp3[3.08],B12)</f>
        <v>5</v>
      </c>
      <c r="F12" s="100">
        <f t="shared" si="0"/>
        <v>71.430000000000007</v>
      </c>
      <c r="G12" s="25">
        <f t="shared" si="1"/>
        <v>71.429000000000002</v>
      </c>
    </row>
    <row r="13" spans="1:7">
      <c r="B13" s="27" t="s">
        <v>164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172</v>
      </c>
      <c r="C18" s="26" t="s">
        <v>173</v>
      </c>
      <c r="D18" s="48" t="s">
        <v>158</v>
      </c>
      <c r="E18" s="50" t="s">
        <v>161</v>
      </c>
      <c r="F18" s="15"/>
      <c r="G18" s="10"/>
    </row>
    <row r="19" spans="2:7">
      <c r="B19" s="29" t="s">
        <v>83</v>
      </c>
      <c r="C19" s="29" t="s">
        <v>82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75</v>
      </c>
      <c r="D20" s="15">
        <f>C7</f>
        <v>1</v>
      </c>
      <c r="E20" s="44">
        <f>ROUND(D20/SUM(D$19:D$22)*100,3)</f>
        <v>14.286</v>
      </c>
    </row>
    <row r="21" spans="2:7">
      <c r="B21" s="31" t="s">
        <v>13</v>
      </c>
      <c r="C21" s="31" t="s">
        <v>87</v>
      </c>
      <c r="D21" s="15">
        <f>C10</f>
        <v>1</v>
      </c>
      <c r="E21" s="44">
        <f>ROUND(D21/SUM(D$19:D$22)*100,3)</f>
        <v>14.286</v>
      </c>
    </row>
    <row r="22" spans="2:7">
      <c r="B22" s="32" t="s">
        <v>93</v>
      </c>
      <c r="C22" s="32" t="s">
        <v>92</v>
      </c>
      <c r="D22" s="33">
        <f>SUM(C11:C12)</f>
        <v>5</v>
      </c>
      <c r="E22" s="45">
        <f>ROUND(D22/SUM(D$19:D$22)*100,3)</f>
        <v>71.429000000000002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B24" sqref="B24:E3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156</v>
      </c>
      <c r="B3" s="10" t="str">
        <f>VLOOKUP(A$2, Eixo[], 4, FALSE)</f>
        <v>Eixo3: Questão 9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COUNTIFS(Resp3[Vínculo],"tecnico",Resp3[3.09],B7)</f>
        <v>1</v>
      </c>
      <c r="D7" s="10">
        <f>COUNTIFS(Resp3[Vínculo],"docente",Resp3[3.09],B7)</f>
        <v>0</v>
      </c>
      <c r="E7" s="10">
        <f>COUNTIF(Resp3[3.09],B7)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30</v>
      </c>
      <c r="C8" s="10">
        <f>COUNTIFS(Resp3[Vínculo],"tecnico",Resp3[3.09],B8)</f>
        <v>0</v>
      </c>
      <c r="D8" s="10">
        <f>COUNTIFS(Resp3[Vínculo],"docente",Resp3[3.09],B8)</f>
        <v>0</v>
      </c>
      <c r="E8" s="10">
        <f>COUNTIF(Resp3[3.09],B8)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COUNTIFS(Resp3[Vínculo],"tecnico",Resp3[3.09],B9)</f>
        <v>0</v>
      </c>
      <c r="D9" s="10">
        <f>COUNTIFS(Resp3[Vínculo],"docente",Resp3[3.09],B9)</f>
        <v>0</v>
      </c>
      <c r="E9" s="10">
        <f>COUNTIF(Resp3[3.09],B9)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COUNTIFS(Resp3[Vínculo],"tecnico",Resp3[3.09],B10)</f>
        <v>1</v>
      </c>
      <c r="D10" s="10">
        <f>COUNTIFS(Resp3[Vínculo],"docente",Resp3[3.09],B10)</f>
        <v>0</v>
      </c>
      <c r="E10" s="10">
        <f>COUNTIF(Resp3[3.09],B10)</f>
        <v>1</v>
      </c>
      <c r="F10" s="25">
        <f t="shared" si="0"/>
        <v>14.29</v>
      </c>
      <c r="G10" s="25">
        <f t="shared" si="1"/>
        <v>14.286</v>
      </c>
    </row>
    <row r="11" spans="1:7">
      <c r="B11" s="9" t="s">
        <v>16</v>
      </c>
      <c r="C11" s="10">
        <f>COUNTIFS(Resp3[Vínculo],"tecnico",Resp3[3.09],B11)</f>
        <v>0</v>
      </c>
      <c r="D11" s="10">
        <f>COUNTIFS(Resp3[Vínculo],"docente",Resp3[3.09],B11)</f>
        <v>0</v>
      </c>
      <c r="E11" s="10">
        <f>COUNTIF(Resp3[3.09],B11)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14</v>
      </c>
      <c r="C12" s="10">
        <f>COUNTIFS(Resp3[Vínculo],"tecnico",Resp3[3.09],B12)</f>
        <v>5</v>
      </c>
      <c r="D12" s="10">
        <f>COUNTIFS(Resp3[Vínculo],"docente",Resp3[3.09],B12)</f>
        <v>0</v>
      </c>
      <c r="E12" s="10">
        <f>COUNTIF(Resp3[3.09],B12)</f>
        <v>5</v>
      </c>
      <c r="F12" s="100">
        <f t="shared" si="0"/>
        <v>71.430000000000007</v>
      </c>
      <c r="G12" s="25">
        <f t="shared" si="1"/>
        <v>71.429000000000002</v>
      </c>
    </row>
    <row r="13" spans="1:7">
      <c r="B13" s="27" t="s">
        <v>164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172</v>
      </c>
      <c r="C18" s="22" t="s">
        <v>173</v>
      </c>
      <c r="D18" s="7" t="s">
        <v>158</v>
      </c>
      <c r="E18" s="35" t="s">
        <v>161</v>
      </c>
      <c r="F18" s="15"/>
      <c r="G18" s="10"/>
    </row>
    <row r="19" spans="2:7">
      <c r="B19" s="29" t="s">
        <v>83</v>
      </c>
      <c r="C19" s="29" t="s">
        <v>82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179</v>
      </c>
      <c r="C20" s="30" t="s">
        <v>75</v>
      </c>
      <c r="D20" s="15">
        <f>C7</f>
        <v>1</v>
      </c>
      <c r="E20" s="10">
        <f>ROUND(D20/SUM(D$19:D$22)*100,3)</f>
        <v>14.286</v>
      </c>
    </row>
    <row r="21" spans="2:7">
      <c r="B21" s="31" t="s">
        <v>13</v>
      </c>
      <c r="C21" s="31" t="s">
        <v>87</v>
      </c>
      <c r="D21" s="15">
        <f>C10</f>
        <v>1</v>
      </c>
      <c r="E21" s="10">
        <f>ROUND(D21/SUM(D$19:D$22)*100,3)</f>
        <v>14.286</v>
      </c>
    </row>
    <row r="22" spans="2:7">
      <c r="B22" s="32" t="s">
        <v>93</v>
      </c>
      <c r="C22" s="32" t="s">
        <v>92</v>
      </c>
      <c r="D22" s="33">
        <f>SUM(C11:C12)</f>
        <v>5</v>
      </c>
      <c r="E22" s="34">
        <f>ROUND(D22/SUM(D$19:D$22)*100,3)</f>
        <v>71.429000000000002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K31" sqref="K31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156</v>
      </c>
      <c r="B3" s="10" t="str">
        <f>VLOOKUP(A$2, Eixo[], 4, FALSE)</f>
        <v>Eixo3: Questão 10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COUNTIFS(Resp3[Vínculo],"tecnico",Resp3[3.10],B7)</f>
        <v>1</v>
      </c>
      <c r="D7" s="10">
        <f>COUNTIFS(Resp3[Vínculo],"docente",Resp3[3.10],B7)</f>
        <v>0</v>
      </c>
      <c r="E7" s="10">
        <f>COUNTIF(Resp3[3.10],B7)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30</v>
      </c>
      <c r="C8" s="10">
        <f>COUNTIFS(Resp3[Vínculo],"tecnico",Resp3[3.10],B8)</f>
        <v>0</v>
      </c>
      <c r="D8" s="10">
        <f>COUNTIFS(Resp3[Vínculo],"docente",Resp3[3.10],B8)</f>
        <v>0</v>
      </c>
      <c r="E8" s="10">
        <f>COUNTIF(Resp3[3.10],B8)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COUNTIFS(Resp3[Vínculo],"tecnico",Resp3[3.10],B9)</f>
        <v>0</v>
      </c>
      <c r="D9" s="10">
        <f>COUNTIFS(Resp3[Vínculo],"docente",Resp3[3.10],B9)</f>
        <v>0</v>
      </c>
      <c r="E9" s="10">
        <f>COUNTIF(Resp3[3.10],B9)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COUNTIFS(Resp3[Vínculo],"tecnico",Resp3[3.10],B10)</f>
        <v>1</v>
      </c>
      <c r="D10" s="10">
        <f>COUNTIFS(Resp3[Vínculo],"docente",Resp3[3.10],B10)</f>
        <v>0</v>
      </c>
      <c r="E10" s="10">
        <f>COUNTIF(Resp3[3.10],B10)</f>
        <v>1</v>
      </c>
      <c r="F10" s="25">
        <f t="shared" si="0"/>
        <v>14.29</v>
      </c>
      <c r="G10" s="25">
        <f t="shared" si="1"/>
        <v>14.286</v>
      </c>
    </row>
    <row r="11" spans="1:7">
      <c r="B11" s="9" t="s">
        <v>16</v>
      </c>
      <c r="C11" s="10">
        <f>COUNTIFS(Resp3[Vínculo],"tecnico",Resp3[3.10],B11)</f>
        <v>1</v>
      </c>
      <c r="D11" s="10">
        <f>COUNTIFS(Resp3[Vínculo],"docente",Resp3[3.10],B11)</f>
        <v>0</v>
      </c>
      <c r="E11" s="10">
        <f>COUNTIF(Resp3[3.10],B11)</f>
        <v>1</v>
      </c>
      <c r="F11" s="25">
        <f t="shared" si="0"/>
        <v>14.29</v>
      </c>
      <c r="G11" s="25">
        <f t="shared" si="1"/>
        <v>14.286</v>
      </c>
    </row>
    <row r="12" spans="1:7">
      <c r="B12" s="26" t="s">
        <v>14</v>
      </c>
      <c r="C12" s="10">
        <f>COUNTIFS(Resp3[Vínculo],"tecnico",Resp3[3.10],B12)</f>
        <v>4</v>
      </c>
      <c r="D12" s="10">
        <f>COUNTIFS(Resp3[Vínculo],"docente",Resp3[3.10],B12)</f>
        <v>0</v>
      </c>
      <c r="E12" s="10">
        <f>COUNTIF(Resp3[3.10],B12)</f>
        <v>4</v>
      </c>
      <c r="F12" s="100">
        <f t="shared" si="0"/>
        <v>57.14</v>
      </c>
      <c r="G12" s="25">
        <f t="shared" si="1"/>
        <v>57.143000000000001</v>
      </c>
    </row>
    <row r="13" spans="1:7">
      <c r="B13" s="27" t="s">
        <v>164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100.001</v>
      </c>
    </row>
    <row r="18" spans="2:5">
      <c r="B18" s="22" t="s">
        <v>172</v>
      </c>
      <c r="C18" s="22" t="s">
        <v>173</v>
      </c>
      <c r="D18" s="7" t="s">
        <v>158</v>
      </c>
      <c r="E18" s="35" t="s">
        <v>161</v>
      </c>
    </row>
    <row r="19" spans="2:5">
      <c r="B19" s="29" t="s">
        <v>83</v>
      </c>
      <c r="C19" s="29" t="s">
        <v>82</v>
      </c>
      <c r="D19" s="15">
        <f>SUM(C8:C9)</f>
        <v>0</v>
      </c>
      <c r="E19" s="12">
        <f>ROUND(D19/SUM(D$19:D$22)*100,3)</f>
        <v>0</v>
      </c>
    </row>
    <row r="20" spans="2:5">
      <c r="B20" s="30" t="s">
        <v>179</v>
      </c>
      <c r="C20" s="30" t="s">
        <v>75</v>
      </c>
      <c r="D20" s="15">
        <f>C7</f>
        <v>1</v>
      </c>
      <c r="E20" s="10">
        <f>ROUND(D20/SUM(D$19:D$22)*100,3)</f>
        <v>14.286</v>
      </c>
    </row>
    <row r="21" spans="2:5">
      <c r="B21" s="31" t="s">
        <v>13</v>
      </c>
      <c r="C21" s="31" t="s">
        <v>87</v>
      </c>
      <c r="D21" s="15">
        <f>C10</f>
        <v>1</v>
      </c>
      <c r="E21" s="10">
        <f>ROUND(D21/SUM(D$19:D$22)*100,3)</f>
        <v>14.286</v>
      </c>
    </row>
    <row r="22" spans="2:5">
      <c r="B22" s="32" t="s">
        <v>93</v>
      </c>
      <c r="C22" s="32" t="s">
        <v>92</v>
      </c>
      <c r="D22" s="33">
        <f>SUM(C11:C12)</f>
        <v>5</v>
      </c>
      <c r="E22" s="34">
        <f>ROUND(D22/SUM(D$19:D$22)*100,3)</f>
        <v>71.429000000000002</v>
      </c>
    </row>
    <row r="25" spans="2:5">
      <c r="D25" s="129"/>
      <c r="E25" s="130"/>
    </row>
    <row r="26" spans="2:5">
      <c r="D26" s="15"/>
      <c r="E26" s="44"/>
    </row>
    <row r="27" spans="2:5">
      <c r="D27" s="15"/>
      <c r="E27" s="44"/>
    </row>
    <row r="28" spans="2:5">
      <c r="D28" s="15"/>
      <c r="E28" s="44"/>
    </row>
    <row r="29" spans="2:5">
      <c r="D29" s="15"/>
      <c r="E29" s="4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showGridLines="0" tabSelected="1" topLeftCell="C31" zoomScaleNormal="100" workbookViewId="0">
      <selection activeCell="A35" sqref="A35:XFD64"/>
    </sheetView>
  </sheetViews>
  <sheetFormatPr defaultRowHeight="15"/>
  <cols>
    <col min="1" max="1" width="19.42578125" style="53" customWidth="1"/>
    <col min="2" max="2" width="30.85546875" style="53" customWidth="1"/>
    <col min="3" max="3" width="26.28515625" style="53" customWidth="1"/>
    <col min="4" max="4" width="25.85546875" style="53" customWidth="1"/>
    <col min="5" max="7" width="26.42578125" style="53" customWidth="1"/>
    <col min="8" max="8" width="45.140625" style="53" bestFit="1" customWidth="1"/>
    <col min="9" max="9" width="26.42578125" style="53" customWidth="1"/>
    <col min="10" max="10" width="37.140625" style="53" customWidth="1"/>
    <col min="11" max="16384" width="9.140625" style="53"/>
  </cols>
  <sheetData>
    <row r="1" spans="1:15" ht="15.75">
      <c r="A1" s="52" t="s">
        <v>31</v>
      </c>
    </row>
    <row r="2" spans="1:15" ht="15.75">
      <c r="A2" s="52"/>
    </row>
    <row r="3" spans="1:15">
      <c r="A3" s="53" t="s">
        <v>32</v>
      </c>
    </row>
    <row r="5" spans="1:15">
      <c r="A5" s="113" t="s">
        <v>33</v>
      </c>
      <c r="B5" s="114" t="s">
        <v>34</v>
      </c>
      <c r="C5" s="114"/>
      <c r="D5" s="114"/>
      <c r="E5" s="114"/>
      <c r="F5" s="114"/>
      <c r="G5" s="115"/>
    </row>
    <row r="6" spans="1:15">
      <c r="A6" s="116" t="s">
        <v>35</v>
      </c>
      <c r="B6" s="53" t="s">
        <v>36</v>
      </c>
      <c r="G6" s="117"/>
    </row>
    <row r="7" spans="1:15">
      <c r="A7" s="116" t="s">
        <v>37</v>
      </c>
      <c r="B7" s="53" t="s">
        <v>38</v>
      </c>
      <c r="G7" s="117"/>
    </row>
    <row r="8" spans="1:15">
      <c r="A8" s="116" t="s">
        <v>39</v>
      </c>
      <c r="B8" s="53" t="s">
        <v>40</v>
      </c>
      <c r="G8" s="117"/>
    </row>
    <row r="9" spans="1:15">
      <c r="A9" s="116" t="s">
        <v>41</v>
      </c>
      <c r="B9" s="53" t="s">
        <v>42</v>
      </c>
      <c r="G9" s="117"/>
    </row>
    <row r="10" spans="1:15">
      <c r="A10" s="118" t="s">
        <v>43</v>
      </c>
      <c r="B10" s="119" t="s">
        <v>44</v>
      </c>
      <c r="C10" s="119"/>
      <c r="D10" s="119"/>
      <c r="E10" s="119"/>
      <c r="F10" s="119"/>
      <c r="G10" s="120"/>
    </row>
    <row r="12" spans="1:15" ht="15.75">
      <c r="A12" s="122" t="s">
        <v>45</v>
      </c>
      <c r="B12" s="122"/>
      <c r="C12" s="122"/>
      <c r="D12" s="122"/>
      <c r="E12" s="122"/>
      <c r="F12" s="122"/>
      <c r="H12" s="81"/>
      <c r="I12" s="81"/>
      <c r="J12" s="81"/>
      <c r="K12" s="82"/>
      <c r="L12" s="82"/>
      <c r="M12" s="82"/>
      <c r="N12" s="82"/>
      <c r="O12" s="82"/>
    </row>
    <row r="13" spans="1:15">
      <c r="A13" s="73" t="s">
        <v>46</v>
      </c>
      <c r="B13" s="54" t="s">
        <v>47</v>
      </c>
      <c r="H13" s="89"/>
      <c r="I13" s="89"/>
      <c r="J13" s="89"/>
      <c r="K13" s="89"/>
      <c r="L13" s="90"/>
      <c r="M13" s="90"/>
      <c r="N13" s="82"/>
      <c r="O13" s="82"/>
    </row>
    <row r="14" spans="1:15">
      <c r="A14" s="73" t="s">
        <v>48</v>
      </c>
      <c r="B14" s="54" t="s">
        <v>49</v>
      </c>
      <c r="H14" s="91"/>
      <c r="I14" s="82"/>
      <c r="J14" s="82"/>
      <c r="K14" s="82"/>
      <c r="L14" s="92"/>
      <c r="M14" s="92"/>
      <c r="N14" s="82"/>
      <c r="O14" s="82"/>
    </row>
    <row r="15" spans="1:15">
      <c r="A15" s="73" t="s">
        <v>50</v>
      </c>
      <c r="B15" s="54" t="s">
        <v>51</v>
      </c>
      <c r="H15" s="91"/>
      <c r="I15" s="82"/>
      <c r="J15" s="82"/>
      <c r="K15" s="82"/>
      <c r="L15" s="92"/>
      <c r="M15" s="92"/>
      <c r="N15" s="82"/>
      <c r="O15" s="82"/>
    </row>
    <row r="16" spans="1:15">
      <c r="A16" s="73" t="s">
        <v>52</v>
      </c>
      <c r="B16" s="54" t="s">
        <v>53</v>
      </c>
      <c r="H16" s="81"/>
      <c r="I16" s="82"/>
      <c r="J16" s="82"/>
      <c r="K16" s="82"/>
      <c r="L16" s="92"/>
      <c r="M16" s="92"/>
      <c r="N16" s="82"/>
      <c r="O16" s="82"/>
    </row>
    <row r="17" spans="1:15">
      <c r="A17" s="74" t="s">
        <v>54</v>
      </c>
      <c r="B17" s="54" t="s">
        <v>55</v>
      </c>
      <c r="H17" s="88"/>
      <c r="I17" s="82"/>
      <c r="J17" s="82"/>
      <c r="K17" s="82"/>
      <c r="L17" s="82"/>
      <c r="M17" s="82"/>
      <c r="N17" s="82"/>
      <c r="O17" s="82"/>
    </row>
    <row r="18" spans="1:15">
      <c r="H18" s="82"/>
      <c r="I18" s="82"/>
      <c r="J18" s="82"/>
      <c r="K18" s="82"/>
      <c r="L18" s="82"/>
      <c r="M18" s="82"/>
      <c r="N18" s="82"/>
      <c r="O18" s="82"/>
    </row>
    <row r="19" spans="1:15">
      <c r="A19" s="53" t="s">
        <v>56</v>
      </c>
    </row>
    <row r="21" spans="1:15">
      <c r="A21" s="53" t="s">
        <v>57</v>
      </c>
    </row>
    <row r="24" spans="1:15">
      <c r="A24" s="81" t="s">
        <v>58</v>
      </c>
    </row>
    <row r="25" spans="1:15" s="80" customFormat="1">
      <c r="A25" s="83"/>
      <c r="B25" s="83" t="s">
        <v>35</v>
      </c>
      <c r="C25" s="83" t="s">
        <v>37</v>
      </c>
      <c r="D25" s="83" t="s">
        <v>59</v>
      </c>
      <c r="E25" s="84" t="s">
        <v>60</v>
      </c>
      <c r="F25" s="84" t="s">
        <v>61</v>
      </c>
    </row>
    <row r="26" spans="1:15">
      <c r="A26" s="123" t="s">
        <v>8</v>
      </c>
      <c r="B26" s="85">
        <f>COUNTIF(Resp2[Vínculo],A26)</f>
        <v>7</v>
      </c>
      <c r="C26" s="85">
        <f>COUNTIF(Resp3[Vínculo],A26)</f>
        <v>7</v>
      </c>
      <c r="D26" s="85">
        <v>12</v>
      </c>
      <c r="E26" s="86">
        <f>ROUND(B26/$D26*100,3)</f>
        <v>58.332999999999998</v>
      </c>
      <c r="F26" s="86">
        <f>ROUND(C26/$D26*100,3)</f>
        <v>58.332999999999998</v>
      </c>
    </row>
    <row r="27" spans="1:15">
      <c r="A27" s="87" t="s">
        <v>62</v>
      </c>
      <c r="B27" s="85">
        <f>SUM(B26:B26)</f>
        <v>7</v>
      </c>
      <c r="C27" s="85">
        <f>SUM(C26:C26)</f>
        <v>7</v>
      </c>
      <c r="D27" s="85">
        <f>SUM(D26:D26)</f>
        <v>12</v>
      </c>
      <c r="E27" s="86">
        <f t="shared" ref="E27" si="0">ROUND(B27/$D27*100,3)</f>
        <v>58.332999999999998</v>
      </c>
      <c r="F27" s="86">
        <f t="shared" ref="F27" si="1">ROUND(C27/$D27*100,3)</f>
        <v>58.332999999999998</v>
      </c>
    </row>
    <row r="28" spans="1:15">
      <c r="A28" s="88">
        <v>1</v>
      </c>
      <c r="B28" s="131" t="s">
        <v>63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5">
      <c r="A29" s="88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88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 ht="15.75">
      <c r="A31" s="127" t="s">
        <v>64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5">
      <c r="A32" s="53" t="s">
        <v>65</v>
      </c>
    </row>
    <row r="33" spans="1:11">
      <c r="A33" s="53" t="s">
        <v>66</v>
      </c>
    </row>
    <row r="35" spans="1:11" ht="15.75">
      <c r="A35" s="57" t="s">
        <v>67</v>
      </c>
      <c r="B35" s="57" t="s">
        <v>68</v>
      </c>
      <c r="C35" s="57" t="s">
        <v>69</v>
      </c>
      <c r="D35" s="57" t="s">
        <v>70</v>
      </c>
      <c r="E35" s="57" t="s">
        <v>71</v>
      </c>
      <c r="G35" s="56" t="s">
        <v>47</v>
      </c>
      <c r="H35" s="55"/>
      <c r="K35" s="55"/>
    </row>
    <row r="36" spans="1:11" ht="15.75">
      <c r="A36" s="63" t="s">
        <v>72</v>
      </c>
      <c r="B36" s="133" t="s">
        <v>73</v>
      </c>
      <c r="C36" s="134" t="s">
        <v>74</v>
      </c>
      <c r="D36" s="63"/>
      <c r="E36" s="63"/>
      <c r="G36" s="58" t="s">
        <v>75</v>
      </c>
      <c r="H36" s="58" t="s">
        <v>76</v>
      </c>
      <c r="K36" s="55"/>
    </row>
    <row r="37" spans="1:11" ht="15.75">
      <c r="A37" s="63" t="s">
        <v>77</v>
      </c>
      <c r="B37" s="135" t="s">
        <v>78</v>
      </c>
      <c r="C37" s="135" t="s">
        <v>79</v>
      </c>
      <c r="D37" s="63" t="s">
        <v>80</v>
      </c>
      <c r="E37" s="63" t="s">
        <v>81</v>
      </c>
      <c r="G37" s="59" t="s">
        <v>82</v>
      </c>
      <c r="H37" s="136" t="s">
        <v>83</v>
      </c>
      <c r="K37" s="55"/>
    </row>
    <row r="38" spans="1:11" ht="15.75">
      <c r="A38" s="63" t="s">
        <v>84</v>
      </c>
      <c r="B38" s="137" t="s">
        <v>85</v>
      </c>
      <c r="C38" s="135" t="s">
        <v>86</v>
      </c>
      <c r="D38" s="63" t="s">
        <v>81</v>
      </c>
      <c r="E38" s="63"/>
      <c r="G38" s="60" t="s">
        <v>87</v>
      </c>
      <c r="H38" s="138" t="s">
        <v>13</v>
      </c>
      <c r="K38" s="55"/>
    </row>
    <row r="39" spans="1:11" ht="15.75">
      <c r="A39" s="63" t="s">
        <v>88</v>
      </c>
      <c r="B39" s="135" t="s">
        <v>89</v>
      </c>
      <c r="C39" s="135" t="s">
        <v>90</v>
      </c>
      <c r="D39" s="63" t="s">
        <v>91</v>
      </c>
      <c r="E39" s="63" t="s">
        <v>80</v>
      </c>
      <c r="G39" s="62" t="s">
        <v>92</v>
      </c>
      <c r="H39" s="139" t="s">
        <v>93</v>
      </c>
      <c r="K39" s="55"/>
    </row>
    <row r="40" spans="1:11" ht="15.75">
      <c r="A40" s="63" t="s">
        <v>94</v>
      </c>
      <c r="B40" s="137" t="s">
        <v>95</v>
      </c>
      <c r="C40" s="135" t="s">
        <v>96</v>
      </c>
      <c r="D40" s="63"/>
      <c r="E40" s="63"/>
      <c r="G40" s="55"/>
      <c r="H40" s="55"/>
      <c r="K40" s="55"/>
    </row>
    <row r="41" spans="1:11" ht="15.75">
      <c r="A41" s="63" t="s">
        <v>97</v>
      </c>
      <c r="B41" s="63" t="s">
        <v>97</v>
      </c>
      <c r="C41" s="63"/>
      <c r="D41" s="63"/>
      <c r="E41" s="63"/>
      <c r="G41" s="56" t="s">
        <v>98</v>
      </c>
      <c r="H41" s="124" t="s">
        <v>99</v>
      </c>
      <c r="K41" s="55"/>
    </row>
    <row r="42" spans="1:11" ht="15.75">
      <c r="A42" s="63" t="s">
        <v>100</v>
      </c>
      <c r="B42" s="63"/>
      <c r="C42" s="63"/>
      <c r="D42" s="63"/>
      <c r="E42" s="63"/>
      <c r="G42" s="58" t="s">
        <v>75</v>
      </c>
      <c r="H42" s="58" t="s">
        <v>101</v>
      </c>
      <c r="K42" s="55"/>
    </row>
    <row r="43" spans="1:11" ht="15.75">
      <c r="A43" s="55"/>
      <c r="B43" s="125"/>
      <c r="C43" s="126"/>
      <c r="D43" s="126"/>
      <c r="E43" s="126"/>
      <c r="F43" s="126"/>
      <c r="G43" s="59" t="s">
        <v>82</v>
      </c>
      <c r="H43" s="136" t="s">
        <v>102</v>
      </c>
      <c r="K43" s="55"/>
    </row>
    <row r="44" spans="1:11" ht="15.75">
      <c r="A44" s="55"/>
      <c r="B44" s="55"/>
      <c r="C44" s="55"/>
      <c r="D44" s="55"/>
      <c r="E44" s="55"/>
      <c r="F44" s="55"/>
      <c r="G44" s="60" t="s">
        <v>87</v>
      </c>
      <c r="H44" s="138" t="s">
        <v>103</v>
      </c>
      <c r="K44" s="55"/>
    </row>
    <row r="45" spans="1:11" ht="15.75">
      <c r="A45" s="55"/>
      <c r="B45" s="55"/>
      <c r="C45" s="140"/>
      <c r="D45" s="140"/>
      <c r="E45" s="55"/>
      <c r="F45" s="55"/>
      <c r="G45" s="62" t="s">
        <v>92</v>
      </c>
      <c r="H45" s="139" t="s">
        <v>104</v>
      </c>
      <c r="K45" s="55"/>
    </row>
    <row r="46" spans="1:11" ht="15.75">
      <c r="A46" s="55"/>
      <c r="B46" s="55"/>
      <c r="C46" s="141"/>
      <c r="D46" s="55"/>
      <c r="E46" s="55"/>
      <c r="F46" s="55"/>
      <c r="G46" s="55"/>
      <c r="H46" s="55"/>
      <c r="K46" s="55"/>
    </row>
    <row r="47" spans="1:11" ht="15.75">
      <c r="A47" s="55"/>
      <c r="B47" s="55"/>
      <c r="C47" s="141"/>
      <c r="D47" s="55"/>
      <c r="E47" s="55"/>
      <c r="F47" s="55"/>
      <c r="G47" s="56" t="s">
        <v>105</v>
      </c>
      <c r="H47" s="55"/>
      <c r="K47" s="55"/>
    </row>
    <row r="48" spans="1:11" ht="15.75">
      <c r="A48" s="55"/>
      <c r="B48" s="55"/>
      <c r="C48" s="141"/>
      <c r="D48" s="126"/>
      <c r="E48" s="55"/>
      <c r="F48" s="55"/>
      <c r="G48" s="59" t="s">
        <v>82</v>
      </c>
      <c r="H48" s="59" t="s">
        <v>106</v>
      </c>
      <c r="K48" s="55"/>
    </row>
    <row r="49" spans="1:11" ht="15.75">
      <c r="A49" s="55"/>
      <c r="B49" s="55"/>
      <c r="C49" s="141"/>
      <c r="D49" s="55"/>
      <c r="E49" s="55"/>
      <c r="F49" s="55"/>
      <c r="G49" s="60" t="s">
        <v>87</v>
      </c>
      <c r="H49" s="138" t="s">
        <v>107</v>
      </c>
      <c r="K49" s="55"/>
    </row>
    <row r="50" spans="1:11" ht="15.75">
      <c r="A50" s="55"/>
      <c r="B50" s="55"/>
      <c r="C50" s="55"/>
      <c r="D50" s="55"/>
      <c r="E50" s="55"/>
      <c r="F50" s="55"/>
      <c r="G50" s="62" t="s">
        <v>92</v>
      </c>
      <c r="H50" s="139" t="s">
        <v>108</v>
      </c>
      <c r="K50" s="55"/>
    </row>
    <row r="51" spans="1:11" ht="15.75">
      <c r="A51" s="55"/>
      <c r="B51" s="55"/>
      <c r="C51" s="55"/>
      <c r="D51" s="55"/>
      <c r="E51" s="55"/>
      <c r="F51" s="55"/>
      <c r="G51" s="55"/>
      <c r="H51" s="55"/>
      <c r="K51" s="55"/>
    </row>
    <row r="52" spans="1:11" ht="15.75">
      <c r="D52" s="55"/>
      <c r="E52" s="55"/>
      <c r="F52" s="55"/>
      <c r="G52" s="56" t="s">
        <v>109</v>
      </c>
      <c r="H52" s="55"/>
      <c r="K52" s="55"/>
    </row>
    <row r="53" spans="1:11" ht="15.75">
      <c r="D53" s="55"/>
      <c r="E53" s="55"/>
      <c r="F53" s="55"/>
      <c r="G53" s="59" t="s">
        <v>82</v>
      </c>
      <c r="H53" s="59" t="s">
        <v>91</v>
      </c>
      <c r="K53" s="55"/>
    </row>
    <row r="54" spans="1:11" ht="15.75">
      <c r="D54" s="55"/>
      <c r="E54" s="55"/>
      <c r="F54" s="55"/>
      <c r="G54" s="60" t="s">
        <v>87</v>
      </c>
      <c r="H54" s="61" t="s">
        <v>81</v>
      </c>
      <c r="K54" s="55"/>
    </row>
    <row r="55" spans="1:11" ht="15.75">
      <c r="D55" s="55"/>
      <c r="E55" s="55"/>
      <c r="F55" s="55"/>
      <c r="G55" s="62" t="s">
        <v>92</v>
      </c>
      <c r="H55" s="62" t="s">
        <v>80</v>
      </c>
    </row>
    <row r="56" spans="1:11" ht="15.75">
      <c r="D56" s="55"/>
      <c r="E56" s="55"/>
      <c r="F56" s="55"/>
      <c r="G56" s="55"/>
      <c r="H56" s="55"/>
    </row>
    <row r="57" spans="1:11" ht="15.75">
      <c r="D57" s="55"/>
      <c r="E57" s="55"/>
      <c r="F57" s="55"/>
      <c r="G57" s="56" t="s">
        <v>110</v>
      </c>
      <c r="H57" s="55"/>
    </row>
    <row r="58" spans="1:11" ht="15.75">
      <c r="D58" s="55"/>
      <c r="E58" s="55"/>
      <c r="F58" s="55"/>
      <c r="G58" s="59" t="s">
        <v>82</v>
      </c>
      <c r="H58" s="59" t="s">
        <v>80</v>
      </c>
    </row>
    <row r="59" spans="1:11" ht="15.75">
      <c r="D59" s="55"/>
      <c r="E59" s="55"/>
      <c r="F59" s="55"/>
      <c r="G59" s="62" t="s">
        <v>92</v>
      </c>
      <c r="H59" s="62" t="s">
        <v>81</v>
      </c>
    </row>
    <row r="61" spans="1:11" ht="15.75">
      <c r="G61" s="56" t="s">
        <v>111</v>
      </c>
    </row>
    <row r="62" spans="1:11" ht="15.75">
      <c r="G62" s="55" t="s">
        <v>112</v>
      </c>
      <c r="H62" s="55"/>
    </row>
  </sheetData>
  <mergeCells count="1">
    <mergeCell ref="B28:L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activeCell="E7" sqref="E7"/>
    </sheetView>
  </sheetViews>
  <sheetFormatPr defaultColWidth="62.7109375" defaultRowHeight="15"/>
  <cols>
    <col min="1" max="1" width="19.140625" style="70" bestFit="1" customWidth="1"/>
    <col min="2" max="2" width="15.7109375" style="70" bestFit="1" customWidth="1"/>
    <col min="3" max="3" width="101.7109375" style="72" customWidth="1"/>
    <col min="4" max="4" width="16.7109375" style="72" bestFit="1" customWidth="1"/>
    <col min="5" max="16384" width="62.7109375" style="72"/>
  </cols>
  <sheetData>
    <row r="1" spans="1:5" s="66" customFormat="1">
      <c r="A1" s="64" t="s">
        <v>113</v>
      </c>
      <c r="B1" s="65" t="s">
        <v>114</v>
      </c>
      <c r="C1" s="65" t="s">
        <v>115</v>
      </c>
      <c r="D1" s="65" t="s">
        <v>116</v>
      </c>
    </row>
    <row r="2" spans="1:5" s="69" customFormat="1" ht="25.5">
      <c r="A2" s="67" t="s">
        <v>2</v>
      </c>
      <c r="B2" s="67" t="s">
        <v>50</v>
      </c>
      <c r="C2" s="68" t="s">
        <v>117</v>
      </c>
      <c r="D2" s="68" t="s">
        <v>118</v>
      </c>
    </row>
    <row r="3" spans="1:5" ht="38.25">
      <c r="A3" s="70" t="s">
        <v>3</v>
      </c>
      <c r="B3" s="70" t="s">
        <v>52</v>
      </c>
      <c r="C3" s="71" t="s">
        <v>119</v>
      </c>
      <c r="D3" s="68" t="s">
        <v>120</v>
      </c>
    </row>
    <row r="4" spans="1:5" s="69" customFormat="1">
      <c r="A4" s="67" t="s">
        <v>4</v>
      </c>
      <c r="B4" s="70" t="s">
        <v>48</v>
      </c>
      <c r="C4" s="68" t="s">
        <v>121</v>
      </c>
      <c r="D4" s="68" t="s">
        <v>122</v>
      </c>
    </row>
    <row r="5" spans="1:5" ht="36" customHeight="1">
      <c r="A5" s="106" t="s">
        <v>123</v>
      </c>
      <c r="B5" s="106" t="s">
        <v>54</v>
      </c>
      <c r="C5" s="107" t="s">
        <v>124</v>
      </c>
      <c r="D5" s="107" t="s">
        <v>125</v>
      </c>
      <c r="E5" s="108"/>
    </row>
    <row r="6" spans="1:5" s="69" customFormat="1" ht="25.5">
      <c r="A6" s="106" t="s">
        <v>126</v>
      </c>
      <c r="B6" s="106" t="s">
        <v>127</v>
      </c>
      <c r="C6" s="107" t="s">
        <v>128</v>
      </c>
      <c r="D6" s="107" t="s">
        <v>129</v>
      </c>
      <c r="E6" s="108"/>
    </row>
    <row r="7" spans="1:5" ht="51">
      <c r="A7" s="70" t="s">
        <v>5</v>
      </c>
      <c r="B7" s="70" t="s">
        <v>46</v>
      </c>
      <c r="C7" s="71" t="s">
        <v>130</v>
      </c>
      <c r="D7" s="68" t="s">
        <v>131</v>
      </c>
    </row>
    <row r="8" spans="1:5" s="69" customFormat="1" ht="38.25">
      <c r="A8" s="67" t="s">
        <v>6</v>
      </c>
      <c r="B8" s="70" t="s">
        <v>46</v>
      </c>
      <c r="C8" s="68" t="s">
        <v>132</v>
      </c>
      <c r="D8" s="68" t="s">
        <v>133</v>
      </c>
    </row>
    <row r="9" spans="1:5" ht="51">
      <c r="A9" s="70" t="s">
        <v>7</v>
      </c>
      <c r="B9" s="70" t="s">
        <v>46</v>
      </c>
      <c r="C9" s="71" t="s">
        <v>134</v>
      </c>
      <c r="D9" s="68" t="s">
        <v>135</v>
      </c>
    </row>
    <row r="10" spans="1:5" s="69" customFormat="1" ht="25.5">
      <c r="A10" s="67" t="s">
        <v>20</v>
      </c>
      <c r="B10" s="70" t="s">
        <v>46</v>
      </c>
      <c r="C10" s="68" t="s">
        <v>136</v>
      </c>
      <c r="D10" s="69" t="s">
        <v>137</v>
      </c>
    </row>
    <row r="11" spans="1:5">
      <c r="A11" s="70" t="s">
        <v>21</v>
      </c>
      <c r="B11" s="70" t="s">
        <v>46</v>
      </c>
      <c r="C11" s="71" t="s">
        <v>138</v>
      </c>
      <c r="D11" s="69" t="s">
        <v>139</v>
      </c>
    </row>
    <row r="12" spans="1:5" s="69" customFormat="1" ht="30">
      <c r="A12" s="67" t="s">
        <v>22</v>
      </c>
      <c r="B12" s="70" t="s">
        <v>46</v>
      </c>
      <c r="C12" s="69" t="s">
        <v>140</v>
      </c>
      <c r="D12" s="69" t="s">
        <v>141</v>
      </c>
    </row>
    <row r="13" spans="1:5" ht="30">
      <c r="A13" s="70" t="s">
        <v>23</v>
      </c>
      <c r="B13" s="70" t="s">
        <v>46</v>
      </c>
      <c r="C13" s="72" t="s">
        <v>142</v>
      </c>
      <c r="D13" s="69" t="s">
        <v>143</v>
      </c>
    </row>
    <row r="14" spans="1:5" s="69" customFormat="1" ht="30">
      <c r="A14" s="67" t="s">
        <v>24</v>
      </c>
      <c r="B14" s="70" t="s">
        <v>46</v>
      </c>
      <c r="C14" s="69" t="s">
        <v>144</v>
      </c>
      <c r="D14" s="69" t="s">
        <v>145</v>
      </c>
    </row>
    <row r="15" spans="1:5" ht="30">
      <c r="A15" s="70" t="s">
        <v>25</v>
      </c>
      <c r="B15" s="70" t="s">
        <v>46</v>
      </c>
      <c r="C15" s="72" t="s">
        <v>146</v>
      </c>
      <c r="D15" s="69" t="s">
        <v>147</v>
      </c>
    </row>
    <row r="16" spans="1:5" s="69" customFormat="1" ht="30">
      <c r="A16" s="67" t="s">
        <v>26</v>
      </c>
      <c r="B16" s="70" t="s">
        <v>46</v>
      </c>
      <c r="C16" s="69" t="s">
        <v>148</v>
      </c>
      <c r="D16" s="69" t="s">
        <v>149</v>
      </c>
    </row>
    <row r="17" spans="1:4" ht="30">
      <c r="A17" s="70" t="s">
        <v>27</v>
      </c>
      <c r="B17" s="70" t="s">
        <v>46</v>
      </c>
      <c r="C17" s="72" t="s">
        <v>150</v>
      </c>
      <c r="D17" s="69" t="s">
        <v>151</v>
      </c>
    </row>
    <row r="18" spans="1:4" s="69" customFormat="1" ht="30">
      <c r="A18" s="67" t="s">
        <v>28</v>
      </c>
      <c r="B18" s="70" t="s">
        <v>46</v>
      </c>
      <c r="C18" s="69" t="s">
        <v>152</v>
      </c>
      <c r="D18" s="69" t="s">
        <v>153</v>
      </c>
    </row>
    <row r="19" spans="1:4" ht="30">
      <c r="A19" s="70" t="s">
        <v>29</v>
      </c>
      <c r="B19" s="70" t="s">
        <v>46</v>
      </c>
      <c r="C19" s="72" t="s">
        <v>154</v>
      </c>
      <c r="D19" s="69" t="s">
        <v>155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156</v>
      </c>
      <c r="B3" s="10" t="str">
        <f>VLOOKUP(A$2, Eixo[], 4, FALSE)</f>
        <v>Eixo 2: Questão 6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1724-SUM(C7:C11)</f>
        <v>1717</v>
      </c>
      <c r="D6" s="9">
        <f>1724-SUM(D7:D11)</f>
        <v>1724</v>
      </c>
      <c r="E6" s="10">
        <f>1724-SUM(E7:E11)</f>
        <v>1717</v>
      </c>
      <c r="F6" s="25">
        <f>ROUND($E6/1724*100,2)</f>
        <v>99.59</v>
      </c>
    </row>
    <row r="7" spans="1:7">
      <c r="B7" s="9" t="s">
        <v>19</v>
      </c>
      <c r="C7" s="10">
        <f>COUNTIFS(Resp2[Vínculo],"tecnico",Resp2[2.06],B7)</f>
        <v>1</v>
      </c>
      <c r="D7" s="10">
        <f>COUNTIFS(Resp2[Vínculo],"docente",Resp2[2.06],B7)</f>
        <v>0</v>
      </c>
      <c r="E7" s="10">
        <f>COUNTIF(Resp2[2.06],B7)</f>
        <v>1</v>
      </c>
      <c r="F7" s="25">
        <f>ROUND($E7/1724*100,2)</f>
        <v>0.06</v>
      </c>
      <c r="G7" s="25">
        <f>ROUND($E7/SUM($E$7:$E$11)*100,3)</f>
        <v>14.286</v>
      </c>
    </row>
    <row r="8" spans="1:7">
      <c r="B8" s="9" t="s">
        <v>30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ref="F8:F12" si="0">ROUND($E8/1724*100,2)</f>
        <v>0</v>
      </c>
      <c r="G8" s="25">
        <f t="shared" ref="G8:G11" si="1">ROUND($E8/SUM($E$7:$E$11)*100,3)</f>
        <v>0</v>
      </c>
    </row>
    <row r="9" spans="1:7">
      <c r="B9" s="9" t="s">
        <v>13</v>
      </c>
      <c r="C9" s="10">
        <f>COUNTIFS(Resp2[Vínculo],"tecnico",Resp2[2.06],B9)</f>
        <v>2</v>
      </c>
      <c r="D9" s="10">
        <f>COUNTIFS(Resp2[Vínculo],"docente",Resp2[2.06],B9)</f>
        <v>0</v>
      </c>
      <c r="E9" s="10">
        <f>COUNTIF(Resp2[2.06],B9)</f>
        <v>2</v>
      </c>
      <c r="F9" s="25">
        <f t="shared" si="0"/>
        <v>0.12</v>
      </c>
      <c r="G9" s="25">
        <f t="shared" si="1"/>
        <v>28.571000000000002</v>
      </c>
    </row>
    <row r="10" spans="1:7">
      <c r="B10" s="9" t="s">
        <v>16</v>
      </c>
      <c r="C10" s="10">
        <f>COUNTIFS(Resp2[Vínculo],"tecnico",Resp2[2.06],B10)</f>
        <v>4</v>
      </c>
      <c r="D10" s="10">
        <f>COUNTIFS(Resp2[Vínculo],"docente",Resp2[2.06],B10)</f>
        <v>0</v>
      </c>
      <c r="E10" s="10">
        <f>COUNTIF(Resp2[2.06],B10)</f>
        <v>4</v>
      </c>
      <c r="F10" s="25">
        <f t="shared" si="0"/>
        <v>0.23</v>
      </c>
      <c r="G10" s="25">
        <f t="shared" si="1"/>
        <v>57.143000000000001</v>
      </c>
    </row>
    <row r="11" spans="1:7">
      <c r="B11" s="26" t="s">
        <v>14</v>
      </c>
      <c r="C11" s="10">
        <f>COUNTIFS(Resp2[Vínculo],"tecnico",Resp2[2.06],B11)</f>
        <v>0</v>
      </c>
      <c r="D11" s="10">
        <f>COUNTIFS(Resp2[Vínculo],"docente",Resp2[2.06],B11)</f>
        <v>0</v>
      </c>
      <c r="E11" s="10">
        <f>COUNTIF(Resp2[2.06],B11)</f>
        <v>0</v>
      </c>
      <c r="F11" s="25">
        <f t="shared" si="0"/>
        <v>0</v>
      </c>
      <c r="G11" s="25">
        <f t="shared" si="1"/>
        <v>0</v>
      </c>
    </row>
    <row r="12" spans="1:7">
      <c r="B12" s="27" t="s">
        <v>164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20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156</v>
      </c>
      <c r="B3" s="10" t="str">
        <f>VLOOKUP(A$2, Eixo[], 4, FALSE)</f>
        <v>Eixo3: Questão 1</v>
      </c>
      <c r="C3" s="10"/>
      <c r="D3" s="10"/>
    </row>
    <row r="5" spans="1:7">
      <c r="B5" s="7" t="s">
        <v>157</v>
      </c>
      <c r="C5" s="7" t="s">
        <v>158</v>
      </c>
      <c r="D5" s="7" t="s">
        <v>159</v>
      </c>
      <c r="E5" s="7" t="s">
        <v>160</v>
      </c>
      <c r="F5" s="8" t="s">
        <v>161</v>
      </c>
      <c r="G5" s="8" t="s">
        <v>162</v>
      </c>
    </row>
    <row r="6" spans="1:7">
      <c r="B6" s="9" t="s">
        <v>163</v>
      </c>
      <c r="C6" s="9">
        <f>1470-SUM(C7:C11)</f>
        <v>1463</v>
      </c>
      <c r="D6" s="9">
        <f>1470-SUM(D7:D11)</f>
        <v>1470</v>
      </c>
      <c r="E6" s="10">
        <f>1470-SUM(E7:E11)</f>
        <v>1463</v>
      </c>
      <c r="F6" s="25">
        <f>ROUND($E6/1470*100,2)</f>
        <v>99.52</v>
      </c>
    </row>
    <row r="7" spans="1:7">
      <c r="B7" s="9" t="s">
        <v>19</v>
      </c>
      <c r="C7" s="10">
        <f>COUNTIFS(Resp3[Vínculo],"tecnico",Resp3[3.01],B7)</f>
        <v>1</v>
      </c>
      <c r="D7" s="10">
        <f>COUNTIFS(Resp3[Vínculo],"docente",Resp3[3.01],B7)</f>
        <v>0</v>
      </c>
      <c r="E7" s="10">
        <f>COUNTIF(Resp3[3.01],B7)</f>
        <v>1</v>
      </c>
      <c r="F7" s="25">
        <f t="shared" ref="F7:F12" si="0">ROUND($E7/1470*100,2)</f>
        <v>7.0000000000000007E-2</v>
      </c>
      <c r="G7" s="25">
        <f>ROUND($E7/SUM($E$7:$E$11)*100,3)</f>
        <v>14.286</v>
      </c>
    </row>
    <row r="8" spans="1:7">
      <c r="B8" s="9" t="s">
        <v>30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1" si="1">ROUND($E8/SUM($E$7:$E$11)*100,3)</f>
        <v>0</v>
      </c>
    </row>
    <row r="9" spans="1:7">
      <c r="B9" s="9" t="s">
        <v>13</v>
      </c>
      <c r="C9" s="10">
        <f>COUNTIFS(Resp3[Vínculo],"tecnico",Resp3[3.01],B9)</f>
        <v>3</v>
      </c>
      <c r="D9" s="10">
        <f>COUNTIFS(Resp3[Vínculo],"docente",Resp3[3.01],B9)</f>
        <v>0</v>
      </c>
      <c r="E9" s="10">
        <f>COUNTIF(Resp3[3.01],B9)</f>
        <v>3</v>
      </c>
      <c r="F9" s="25">
        <f t="shared" si="0"/>
        <v>0.2</v>
      </c>
      <c r="G9" s="25">
        <f t="shared" si="1"/>
        <v>42.856999999999999</v>
      </c>
    </row>
    <row r="10" spans="1:7">
      <c r="B10" s="9" t="s">
        <v>16</v>
      </c>
      <c r="C10" s="10">
        <f>COUNTIFS(Resp3[Vínculo],"tecnico",Resp3[3.01],B10)</f>
        <v>1</v>
      </c>
      <c r="D10" s="10">
        <f>COUNTIFS(Resp3[Vínculo],"docente",Resp3[3.01],B10)</f>
        <v>0</v>
      </c>
      <c r="E10" s="10">
        <f>COUNTIF(Resp3[3.01],B10)</f>
        <v>1</v>
      </c>
      <c r="F10" s="25">
        <f t="shared" si="0"/>
        <v>7.0000000000000007E-2</v>
      </c>
      <c r="G10" s="25">
        <f t="shared" si="1"/>
        <v>14.286</v>
      </c>
    </row>
    <row r="11" spans="1:7">
      <c r="B11" s="26" t="s">
        <v>14</v>
      </c>
      <c r="C11" s="10">
        <f>COUNTIFS(Resp3[Vínculo],"tecnico",Resp3[3.01],B11)</f>
        <v>2</v>
      </c>
      <c r="D11" s="10">
        <f>COUNTIFS(Resp3[Vínculo],"docente",Resp3[3.01],B11)</f>
        <v>0</v>
      </c>
      <c r="E11" s="10">
        <f>COUNTIF(Resp3[3.01],B11)</f>
        <v>2</v>
      </c>
      <c r="F11" s="25">
        <f t="shared" si="0"/>
        <v>0.14000000000000001</v>
      </c>
      <c r="G11" s="25">
        <f t="shared" si="1"/>
        <v>28.571000000000002</v>
      </c>
    </row>
    <row r="12" spans="1:7">
      <c r="B12" s="27" t="s">
        <v>164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zoomScale="90" zoomScaleNormal="90" workbookViewId="0">
      <selection activeCell="A16" sqref="A16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156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165</v>
      </c>
      <c r="C5" s="7" t="s">
        <v>166</v>
      </c>
      <c r="D5" s="7" t="s">
        <v>167</v>
      </c>
      <c r="E5" s="7" t="s">
        <v>160</v>
      </c>
      <c r="F5" s="8" t="s">
        <v>161</v>
      </c>
      <c r="G5" s="7" t="s">
        <v>162</v>
      </c>
    </row>
    <row r="6" spans="1:8" ht="15" customHeight="1">
      <c r="B6" s="18" t="s">
        <v>168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80</v>
      </c>
      <c r="C7" s="18">
        <f>COUNTIFS(Resp2[Vínculo],"tecnico",Resp2[2.01],C17)</f>
        <v>6</v>
      </c>
      <c r="D7" s="18">
        <f>COUNTIFS(Resp2[Vínculo],"docente",Resp2[2.01],C17)</f>
        <v>0</v>
      </c>
      <c r="E7" s="13">
        <f>COUNTIF(Resp2[2.01],C17)</f>
        <v>6</v>
      </c>
      <c r="F7" s="14">
        <f>ROUND($E7/$E$10*100,2)</f>
        <v>85.71</v>
      </c>
      <c r="G7" s="13">
        <f>ROUND($E7/SUM($E$7:$E$9)*100,2)</f>
        <v>85.71</v>
      </c>
    </row>
    <row r="8" spans="1:8" ht="15" customHeight="1">
      <c r="B8" s="18" t="s">
        <v>81</v>
      </c>
      <c r="C8" s="18">
        <f>COUNTIFS(Resp2[Vínculo],"tecnico",Resp2[2.01],C18)</f>
        <v>0</v>
      </c>
      <c r="D8" s="18">
        <f>COUNTIFS(Resp2[Vínculo],"docente",Resp2[2.01],C18)</f>
        <v>0</v>
      </c>
      <c r="E8" s="13">
        <f>COUNTIF(Resp2[2.01],C18)</f>
        <v>0</v>
      </c>
      <c r="F8" s="14">
        <f t="shared" ref="F8:F10" si="0">ROUND($E8/$E$10*100,2)</f>
        <v>0</v>
      </c>
      <c r="G8" s="13">
        <f>ROUND($E8/SUM($E$7:$E$9)*100,2)</f>
        <v>0</v>
      </c>
    </row>
    <row r="9" spans="1:8" ht="15" customHeight="1">
      <c r="B9" s="18" t="s">
        <v>91</v>
      </c>
      <c r="C9" s="18">
        <f>COUNTIFS(Resp2[Vínculo],"tecnico",Resp2[2.01],C19)</f>
        <v>1</v>
      </c>
      <c r="D9" s="93">
        <f>COUNTIFS(Resp2[Vínculo],"docente",Resp2[2.01],C19)</f>
        <v>0</v>
      </c>
      <c r="E9" s="94">
        <f>COUNTIF(Resp2[2.01],C19)</f>
        <v>1</v>
      </c>
      <c r="F9" s="95">
        <f t="shared" si="0"/>
        <v>14.29</v>
      </c>
      <c r="G9" s="94">
        <f>ROUND($E9/SUM($E$7:$E$9)*100,2)</f>
        <v>14.29</v>
      </c>
    </row>
    <row r="10" spans="1:8" ht="15" customHeight="1">
      <c r="B10" s="11" t="s">
        <v>164</v>
      </c>
      <c r="C10" s="11">
        <f>SUM(C6:C9)</f>
        <v>7</v>
      </c>
      <c r="D10" s="9">
        <f>SUM(D6:D9)</f>
        <v>0</v>
      </c>
      <c r="E10" s="15">
        <f>SUM(C10:D10)</f>
        <v>7</v>
      </c>
      <c r="F10" s="102">
        <f t="shared" si="0"/>
        <v>100</v>
      </c>
      <c r="G10" s="101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169</v>
      </c>
      <c r="C15" s="22" t="s">
        <v>165</v>
      </c>
      <c r="D15" s="6"/>
      <c r="E15" s="6"/>
      <c r="F15" s="6"/>
      <c r="G15" s="6"/>
    </row>
    <row r="16" spans="1:8" ht="15" customHeight="1">
      <c r="B16" t="s">
        <v>168</v>
      </c>
      <c r="C16" s="21" t="s">
        <v>170</v>
      </c>
    </row>
    <row r="17" spans="1:5" ht="15" customHeight="1">
      <c r="B17" t="s">
        <v>80</v>
      </c>
      <c r="C17" s="9" t="s">
        <v>10</v>
      </c>
    </row>
    <row r="18" spans="1:5" ht="15" customHeight="1">
      <c r="B18" t="s">
        <v>81</v>
      </c>
      <c r="C18" s="21" t="s">
        <v>171</v>
      </c>
    </row>
    <row r="19" spans="1:5">
      <c r="B19" t="s">
        <v>91</v>
      </c>
      <c r="C19" s="21" t="s">
        <v>17</v>
      </c>
    </row>
    <row r="24" spans="1:5">
      <c r="B24" s="11" t="s">
        <v>172</v>
      </c>
      <c r="C24" s="11" t="s">
        <v>173</v>
      </c>
      <c r="D24" s="7" t="s">
        <v>158</v>
      </c>
      <c r="E24" s="8" t="s">
        <v>161</v>
      </c>
    </row>
    <row r="25" spans="1:5">
      <c r="B25" s="29" t="s">
        <v>91</v>
      </c>
      <c r="C25" s="29" t="s">
        <v>82</v>
      </c>
      <c r="D25" s="15">
        <f>C9</f>
        <v>1</v>
      </c>
      <c r="E25" s="44">
        <f>ROUND(D25/SUM(D$25:D$28)*100,3)</f>
        <v>14.286</v>
      </c>
    </row>
    <row r="26" spans="1:5">
      <c r="A26" t="s">
        <v>174</v>
      </c>
      <c r="B26" s="30"/>
      <c r="C26" s="30"/>
      <c r="D26" s="15"/>
      <c r="E26" s="44"/>
    </row>
    <row r="27" spans="1:5">
      <c r="B27" s="31" t="s">
        <v>81</v>
      </c>
      <c r="C27" s="31" t="s">
        <v>87</v>
      </c>
      <c r="D27" s="15">
        <f>C8</f>
        <v>0</v>
      </c>
      <c r="E27" s="44">
        <f t="shared" ref="E27:E28" si="1">ROUND(D27/SUM(D$25:D$28)*100,3)</f>
        <v>0</v>
      </c>
    </row>
    <row r="28" spans="1:5">
      <c r="B28" s="51" t="s">
        <v>80</v>
      </c>
      <c r="C28" s="51" t="s">
        <v>92</v>
      </c>
      <c r="D28" s="33">
        <f>C7</f>
        <v>6</v>
      </c>
      <c r="E28" s="45">
        <f t="shared" si="1"/>
        <v>85.713999999999999</v>
      </c>
    </row>
    <row r="33" spans="2:5">
      <c r="B33" s="9"/>
      <c r="C33" s="9"/>
      <c r="D33" s="13"/>
      <c r="E33" s="49"/>
    </row>
    <row r="34" spans="2:5">
      <c r="B34" s="9"/>
      <c r="C34" s="9"/>
      <c r="D34" s="15"/>
      <c r="E34" s="44"/>
    </row>
    <row r="35" spans="2:5">
      <c r="B35" s="9"/>
      <c r="C35" s="9"/>
      <c r="D35" s="15"/>
      <c r="E35" s="44"/>
    </row>
    <row r="36" spans="2:5">
      <c r="B36" s="9"/>
      <c r="C36" s="9"/>
      <c r="D36" s="15"/>
      <c r="E36" s="44"/>
    </row>
    <row r="37" spans="2:5">
      <c r="B37" s="9"/>
      <c r="C37" s="9"/>
      <c r="D37" s="15"/>
      <c r="E37" s="4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topLeftCell="A13" workbookViewId="0">
      <selection activeCell="A28" sqref="A28:E35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156</v>
      </c>
      <c r="B3" s="5" t="str">
        <f>VLOOKUP(A$2,Eixo[],4,FALSE)</f>
        <v>Eixo 2: Questão 2</v>
      </c>
      <c r="C3" s="5"/>
      <c r="D3" s="5"/>
    </row>
    <row r="5" spans="1:7">
      <c r="B5" s="3" t="s">
        <v>157</v>
      </c>
      <c r="C5" s="3" t="s">
        <v>166</v>
      </c>
      <c r="D5" s="3" t="s">
        <v>167</v>
      </c>
      <c r="E5" s="3" t="s">
        <v>160</v>
      </c>
      <c r="F5" s="4" t="s">
        <v>161</v>
      </c>
      <c r="G5" s="3" t="s">
        <v>162</v>
      </c>
    </row>
    <row r="6" spans="1:7">
      <c r="B6" s="16" t="s">
        <v>168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80</v>
      </c>
      <c r="C7" s="17">
        <f>COUNTIFS(Resp2[Vínculo],"tecnico",Resp2[2.02],C17)</f>
        <v>1</v>
      </c>
      <c r="D7" s="17">
        <f>COUNTIFS(Resp2[Vínculo],"docente",Resp2[2.02],C17)</f>
        <v>0</v>
      </c>
      <c r="E7" s="15">
        <f>COUNTIF(Resp2[2.02],C17)</f>
        <v>1</v>
      </c>
      <c r="F7" s="10">
        <f>ROUND($E7/$E$9*100,2)</f>
        <v>14.29</v>
      </c>
      <c r="G7" s="9">
        <f>ROUND($E7/SUM($E$7:$E$8)*100,2)</f>
        <v>14.29</v>
      </c>
    </row>
    <row r="8" spans="1:7">
      <c r="B8" s="17" t="s">
        <v>81</v>
      </c>
      <c r="C8" s="17">
        <f>COUNTIFS(Resp2[Vínculo],"tecnico",Resp2[2.02],C18)</f>
        <v>6</v>
      </c>
      <c r="D8" s="96">
        <f>COUNTIFS(Resp2[Vínculo],"docente",Resp2[2.02],C18)</f>
        <v>0</v>
      </c>
      <c r="E8" s="97">
        <f>COUNTIF(Resp2[2.02],C18)</f>
        <v>6</v>
      </c>
      <c r="F8" s="98">
        <f>ROUND($E8/$E$9*100,2)</f>
        <v>85.71</v>
      </c>
      <c r="G8" s="99">
        <f>ROUND($E8/SUM($E$7:$E$8)*100,2)</f>
        <v>85.71</v>
      </c>
    </row>
    <row r="9" spans="1:7">
      <c r="B9" s="11" t="s">
        <v>164</v>
      </c>
      <c r="C9" s="11">
        <f>SUM(C6:C8)</f>
        <v>7</v>
      </c>
      <c r="D9" s="9">
        <f>SUM(D6:D8)</f>
        <v>0</v>
      </c>
      <c r="E9" s="9">
        <f>SUM(C9:D9)</f>
        <v>7</v>
      </c>
      <c r="F9" s="104">
        <f t="shared" ref="F9" si="0">ROUND($E9/$E$9*100,2)</f>
        <v>100</v>
      </c>
      <c r="G9" s="103">
        <f>SUM(G7:G8)</f>
        <v>100</v>
      </c>
    </row>
    <row r="15" spans="1:7">
      <c r="B15" s="6" t="s">
        <v>175</v>
      </c>
      <c r="C15" s="6" t="s">
        <v>176</v>
      </c>
      <c r="D15" s="6"/>
      <c r="E15" s="6"/>
      <c r="F15" s="6"/>
      <c r="G15" s="6"/>
    </row>
    <row r="16" spans="1:7">
      <c r="B16" t="s">
        <v>168</v>
      </c>
      <c r="C16" s="24" t="s">
        <v>177</v>
      </c>
    </row>
    <row r="17" spans="1:5">
      <c r="B17" t="s">
        <v>80</v>
      </c>
      <c r="C17" s="24" t="s">
        <v>18</v>
      </c>
    </row>
    <row r="18" spans="1:5">
      <c r="B18" t="s">
        <v>81</v>
      </c>
      <c r="C18" s="24" t="s">
        <v>11</v>
      </c>
    </row>
    <row r="21" spans="1:5">
      <c r="B21" s="11" t="s">
        <v>172</v>
      </c>
      <c r="C21" s="11" t="s">
        <v>173</v>
      </c>
      <c r="D21" s="7" t="s">
        <v>158</v>
      </c>
      <c r="E21" s="8" t="s">
        <v>161</v>
      </c>
    </row>
    <row r="22" spans="1:5">
      <c r="B22" s="29" t="s">
        <v>80</v>
      </c>
      <c r="C22" s="29" t="s">
        <v>82</v>
      </c>
      <c r="D22" s="15">
        <f>C7</f>
        <v>1</v>
      </c>
      <c r="E22" s="44">
        <f>ROUND(D22/SUM(D$22:D$25)*100,3)</f>
        <v>14.286</v>
      </c>
    </row>
    <row r="23" spans="1:5">
      <c r="A23" s="132" t="s">
        <v>174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28"/>
      <c r="B25" s="51" t="s">
        <v>81</v>
      </c>
      <c r="C25" s="51" t="s">
        <v>92</v>
      </c>
      <c r="D25" s="33">
        <f>C8</f>
        <v>6</v>
      </c>
      <c r="E25" s="45">
        <f>ROUND(D25/SUM(D$22:D$25)*100,3)</f>
        <v>85.713999999999999</v>
      </c>
    </row>
    <row r="26" spans="1:5">
      <c r="A26" s="128"/>
      <c r="D26">
        <f>SUM(D22:D25)</f>
        <v>7</v>
      </c>
    </row>
    <row r="27" spans="1:5">
      <c r="A27" s="128"/>
    </row>
    <row r="28" spans="1:5">
      <c r="A28" s="128"/>
      <c r="B28" s="9"/>
      <c r="C28" s="9"/>
      <c r="D28" s="13"/>
      <c r="E28" s="49"/>
    </row>
    <row r="29" spans="1:5" ht="15.75" customHeight="1">
      <c r="A29" s="128"/>
      <c r="B29" s="9"/>
      <c r="C29" s="9"/>
      <c r="D29" s="15"/>
      <c r="E29" s="44"/>
    </row>
    <row r="30" spans="1:5" ht="12.75" customHeight="1">
      <c r="A30" s="132"/>
      <c r="B30" s="9"/>
      <c r="C30" s="9"/>
      <c r="D30" s="15"/>
      <c r="E30" s="44"/>
    </row>
    <row r="31" spans="1:5" ht="17.25" customHeight="1">
      <c r="A31" s="132"/>
      <c r="B31" s="9"/>
      <c r="C31" s="9"/>
      <c r="D31" s="15"/>
      <c r="E31" s="44"/>
    </row>
    <row r="32" spans="1:5">
      <c r="B32" s="9"/>
      <c r="C32" s="9"/>
      <c r="D32" s="15"/>
      <c r="E32" s="44"/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E18" sqref="E18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156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157</v>
      </c>
      <c r="C5" s="7" t="s">
        <v>166</v>
      </c>
      <c r="D5" s="7" t="s">
        <v>159</v>
      </c>
      <c r="E5" s="7" t="s">
        <v>160</v>
      </c>
      <c r="F5" s="8" t="s">
        <v>161</v>
      </c>
      <c r="G5" s="7" t="s">
        <v>162</v>
      </c>
    </row>
    <row r="6" spans="1:7">
      <c r="B6" s="9" t="s">
        <v>170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12</v>
      </c>
      <c r="C7" s="10">
        <f>COUNTIFS(Resp2[Vínculo],"tecnico",Resp2[2.03],B7)</f>
        <v>4</v>
      </c>
      <c r="D7" s="10">
        <f>COUNTIFS(Resp2[Vínculo],"docente",Resp2[2.03],B7)</f>
        <v>0</v>
      </c>
      <c r="E7" s="9">
        <f>COUNTIF(Resp2[2.03],B7)</f>
        <v>4</v>
      </c>
      <c r="F7" s="10">
        <f t="shared" ref="F7:F9" si="0">ROUND($E7/$E$9*100,2)</f>
        <v>57.14</v>
      </c>
      <c r="G7" s="10">
        <f>ROUND($E7/SUM($E$7:$E$8)*100,2)</f>
        <v>57.14</v>
      </c>
    </row>
    <row r="8" spans="1:7">
      <c r="B8" s="9" t="s">
        <v>15</v>
      </c>
      <c r="C8" s="10">
        <f>COUNTIFS(Resp2[Vínculo],"tecnico",Resp2[2.03],B8)</f>
        <v>3</v>
      </c>
      <c r="D8" s="10">
        <f>COUNTIFS(Resp2[Vínculo],"docente",Resp2[2.03],B8)</f>
        <v>0</v>
      </c>
      <c r="E8" s="9">
        <f>COUNTIF(Resp2[2.03],B8)</f>
        <v>3</v>
      </c>
      <c r="F8" s="98">
        <f>ROUND($E8/$E$9*100,2)</f>
        <v>42.86</v>
      </c>
      <c r="G8" s="98">
        <f>ROUND($E8/SUM($E$7:$E$8)*100,2)</f>
        <v>42.86</v>
      </c>
    </row>
    <row r="9" spans="1:7">
      <c r="B9" s="11" t="s">
        <v>164</v>
      </c>
      <c r="C9" s="11">
        <f>SUM(C6:C8)</f>
        <v>7</v>
      </c>
      <c r="D9" s="11">
        <f>SUM(D6:D8)</f>
        <v>0</v>
      </c>
      <c r="E9" s="11">
        <f>SUM(C9:D9)</f>
        <v>7</v>
      </c>
      <c r="F9" s="104">
        <f t="shared" si="0"/>
        <v>100</v>
      </c>
      <c r="G9" s="104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2022-01-14T16:33:17Z</dcterms:modified>
  <cp:category/>
  <cp:contentStatus/>
</cp:coreProperties>
</file>