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12" documentId="11_4083F97C0FE4F1652D142B7B8EE293680A53D413" xr6:coauthVersionLast="47" xr6:coauthVersionMax="47" xr10:uidLastSave="{2578D9DD-A7BD-4130-9BAB-B37F5798CE4D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<sst xmlns="http://schemas.openxmlformats.org/spreadsheetml/2006/main" count="1365" uniqueCount="182">
  <si>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</si>
  <si>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</si>
  <si>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</si>
  <si>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</si>
  <si>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</si>
  <si>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</si>
  <si>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</si>
  <si>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</si>
  <si>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</si>
  <si>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AC</t>
  </si>
  <si>
    <t>Na minha unidade, não temos conhecimento sobre os processos de Autoavaliação e as decisões para o planejamento interno são tomadas de forma autônoma</t>
  </si>
  <si>
    <t>Observo na minha unidade a atenção e a inserção dos resultados da Autoavaliação em ações de melhoria</t>
  </si>
  <si>
    <t>Sim</t>
  </si>
  <si>
    <t>Bom</t>
  </si>
  <si>
    <t>docente</t>
  </si>
  <si>
    <t>Na minha unidade, participamos efetivamente da elaboração do planejamento interno e consideramos os resultados da Autoavaliação</t>
  </si>
  <si>
    <t>Excelente</t>
  </si>
  <si>
    <t>Na minha unidade, participamos efetivamente da elaboração do planejamento interno, mas não utilizamos os resultados da Autoavaliação</t>
  </si>
  <si>
    <t>Não observo na minha unidade a atenção e a inserção dos resultados da Autoavaliação em ações de melhoria</t>
  </si>
  <si>
    <t>Não</t>
  </si>
  <si>
    <t>Regular</t>
  </si>
  <si>
    <t>Péssimo</t>
  </si>
  <si>
    <t>Ruim</t>
  </si>
  <si>
    <t>Não sei responder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</si>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</sst>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1712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1711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556736"/>
        <c:axId val="95558272"/>
      </c:barChart>
      <c:catAx>
        <c:axId val="9555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58272"/>
        <c:crosses val="autoZero"/>
        <c:auto val="1"/>
        <c:lblAlgn val="ctr"/>
        <c:lblOffset val="100"/>
        <c:noMultiLvlLbl val="0"/>
      </c:catAx>
      <c:valAx>
        <c:axId val="955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5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19232"/>
        <c:axId val="109933312"/>
      </c:barChart>
      <c:catAx>
        <c:axId val="10991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33312"/>
        <c:crosses val="autoZero"/>
        <c:auto val="1"/>
        <c:lblAlgn val="ctr"/>
        <c:lblOffset val="100"/>
        <c:noMultiLvlLbl val="0"/>
      </c:catAx>
      <c:valAx>
        <c:axId val="10993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1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7.6920000000000002</c:v>
                </c:pt>
                <c:pt idx="1">
                  <c:v>7.6920000000000002</c:v>
                </c:pt>
                <c:pt idx="2">
                  <c:v>38.462000000000003</c:v>
                </c:pt>
                <c:pt idx="3">
                  <c:v>46.154000000000003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21.428999999999998</c:v>
                </c:pt>
                <c:pt idx="1">
                  <c:v>14.286</c:v>
                </c:pt>
                <c:pt idx="2">
                  <c:v>21.428999999999998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27616"/>
        <c:axId val="110529152"/>
      </c:barChart>
      <c:catAx>
        <c:axId val="1105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29152"/>
        <c:crosses val="autoZero"/>
        <c:auto val="1"/>
        <c:lblAlgn val="ctr"/>
        <c:lblOffset val="100"/>
        <c:noMultiLvlLbl val="0"/>
      </c:catAx>
      <c:valAx>
        <c:axId val="1105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2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15.385</c:v>
                </c:pt>
                <c:pt idx="1">
                  <c:v>15.385</c:v>
                </c:pt>
                <c:pt idx="2">
                  <c:v>15.385</c:v>
                </c:pt>
                <c:pt idx="3">
                  <c:v>53.845999999999997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21.428999999999998</c:v>
                </c:pt>
                <c:pt idx="1">
                  <c:v>28.571000000000002</c:v>
                </c:pt>
                <c:pt idx="2">
                  <c:v>42.856999999999999</c:v>
                </c:pt>
                <c:pt idx="3">
                  <c:v>7.1429999999999998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15.385</c:v>
                </c:pt>
                <c:pt idx="1">
                  <c:v>15.385</c:v>
                </c:pt>
                <c:pt idx="2">
                  <c:v>30.768999999999998</c:v>
                </c:pt>
                <c:pt idx="3">
                  <c:v>38.462000000000003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35.713999999999999</c:v>
                </c:pt>
                <c:pt idx="1">
                  <c:v>28.571000000000002</c:v>
                </c:pt>
                <c:pt idx="2">
                  <c:v>21.428999999999998</c:v>
                </c:pt>
                <c:pt idx="3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919872"/>
        <c:axId val="111921408"/>
      </c:barChart>
      <c:catAx>
        <c:axId val="11191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21408"/>
        <c:crosses val="autoZero"/>
        <c:auto val="1"/>
        <c:lblAlgn val="ctr"/>
        <c:lblOffset val="100"/>
        <c:noMultiLvlLbl val="0"/>
      </c:catAx>
      <c:valAx>
        <c:axId val="1119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1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489984"/>
        <c:axId val="112491520"/>
      </c:barChart>
      <c:catAx>
        <c:axId val="11248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91520"/>
        <c:crosses val="autoZero"/>
        <c:auto val="1"/>
        <c:lblAlgn val="ctr"/>
        <c:lblOffset val="100"/>
        <c:noMultiLvlLbl val="0"/>
      </c:catAx>
      <c:valAx>
        <c:axId val="11249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1456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385536"/>
        <c:axId val="102387072"/>
      </c:barChart>
      <c:catAx>
        <c:axId val="1023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87072"/>
        <c:crosses val="autoZero"/>
        <c:auto val="1"/>
        <c:lblAlgn val="ctr"/>
        <c:lblOffset val="100"/>
        <c:noMultiLvlLbl val="0"/>
      </c:catAx>
      <c:valAx>
        <c:axId val="10238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18.181999999999999</c:v>
                </c:pt>
                <c:pt idx="1">
                  <c:v>18.181999999999999</c:v>
                </c:pt>
                <c:pt idx="2">
                  <c:v>9.0909999999999993</c:v>
                </c:pt>
                <c:pt idx="3">
                  <c:v>54.545000000000002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57.143000000000001</c:v>
                </c:pt>
                <c:pt idx="2">
                  <c:v>7.1429999999999998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590208"/>
        <c:axId val="112600192"/>
      </c:barChart>
      <c:catAx>
        <c:axId val="11259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00192"/>
        <c:crosses val="autoZero"/>
        <c:auto val="1"/>
        <c:lblAlgn val="ctr"/>
        <c:lblOffset val="100"/>
        <c:noMultiLvlLbl val="0"/>
      </c:catAx>
      <c:valAx>
        <c:axId val="11260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9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9.0909999999999993</c:v>
                </c:pt>
                <c:pt idx="1">
                  <c:v>18.181999999999999</c:v>
                </c:pt>
                <c:pt idx="2">
                  <c:v>18.181999999999999</c:v>
                </c:pt>
                <c:pt idx="3">
                  <c:v>54.545000000000002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57.143000000000001</c:v>
                </c:pt>
                <c:pt idx="2">
                  <c:v>7.1429999999999998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11296"/>
        <c:axId val="112319488"/>
      </c:barChart>
      <c:catAx>
        <c:axId val="11031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19488"/>
        <c:crosses val="autoZero"/>
        <c:auto val="1"/>
        <c:lblAlgn val="ctr"/>
        <c:lblOffset val="100"/>
        <c:noMultiLvlLbl val="0"/>
      </c:catAx>
      <c:valAx>
        <c:axId val="1123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9.0909999999999993</c:v>
                </c:pt>
                <c:pt idx="1">
                  <c:v>54.545000000000002</c:v>
                </c:pt>
                <c:pt idx="2">
                  <c:v>9.0909999999999993</c:v>
                </c:pt>
                <c:pt idx="3">
                  <c:v>27.273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42.856999999999999</c:v>
                </c:pt>
                <c:pt idx="2">
                  <c:v>21.428999999999998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721280"/>
        <c:axId val="112989312"/>
      </c:barChart>
      <c:catAx>
        <c:axId val="1127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89312"/>
        <c:crosses val="autoZero"/>
        <c:auto val="1"/>
        <c:lblAlgn val="ctr"/>
        <c:lblOffset val="100"/>
        <c:noMultiLvlLbl val="0"/>
      </c:catAx>
      <c:valAx>
        <c:axId val="11298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2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9.0909999999999993</c:v>
                </c:pt>
                <c:pt idx="1">
                  <c:v>27.273</c:v>
                </c:pt>
                <c:pt idx="2">
                  <c:v>9.0909999999999993</c:v>
                </c:pt>
                <c:pt idx="3">
                  <c:v>54.545000000000002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205120"/>
        <c:axId val="103211008"/>
      </c:barChart>
      <c:catAx>
        <c:axId val="1032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11008"/>
        <c:crosses val="autoZero"/>
        <c:auto val="1"/>
        <c:lblAlgn val="ctr"/>
        <c:lblOffset val="100"/>
        <c:noMultiLvlLbl val="0"/>
      </c:catAx>
      <c:valAx>
        <c:axId val="10321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0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28.571000000000002</c:v>
                </c:pt>
                <c:pt idx="2">
                  <c:v>35.713999999999999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793088"/>
        <c:axId val="112794624"/>
      </c:barChart>
      <c:catAx>
        <c:axId val="1127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94624"/>
        <c:crosses val="autoZero"/>
        <c:auto val="1"/>
        <c:lblAlgn val="ctr"/>
        <c:lblOffset val="100"/>
        <c:noMultiLvlLbl val="0"/>
      </c:catAx>
      <c:valAx>
        <c:axId val="11279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18.181999999999999</c:v>
                </c:pt>
                <c:pt idx="1">
                  <c:v>18.181999999999999</c:v>
                </c:pt>
                <c:pt idx="2">
                  <c:v>0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14.286</c:v>
                </c:pt>
                <c:pt idx="1">
                  <c:v>35.713999999999999</c:v>
                </c:pt>
                <c:pt idx="2">
                  <c:v>21.428999999999998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486656"/>
        <c:axId val="114492544"/>
      </c:barChart>
      <c:catAx>
        <c:axId val="1144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92544"/>
        <c:crosses val="autoZero"/>
        <c:auto val="1"/>
        <c:lblAlgn val="ctr"/>
        <c:lblOffset val="100"/>
        <c:noMultiLvlLbl val="0"/>
      </c:catAx>
      <c:valAx>
        <c:axId val="1144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8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18.181999999999999</c:v>
                </c:pt>
                <c:pt idx="2">
                  <c:v>18.181999999999999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35.713999999999999</c:v>
                </c:pt>
                <c:pt idx="2">
                  <c:v>28.571000000000002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251648"/>
        <c:axId val="114253184"/>
      </c:barChart>
      <c:catAx>
        <c:axId val="1142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53184"/>
        <c:crosses val="autoZero"/>
        <c:auto val="1"/>
        <c:lblAlgn val="ctr"/>
        <c:lblOffset val="100"/>
        <c:noMultiLvlLbl val="0"/>
      </c:catAx>
      <c:valAx>
        <c:axId val="1142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9.0909999999999993</c:v>
                </c:pt>
                <c:pt idx="1">
                  <c:v>18.181999999999999</c:v>
                </c:pt>
                <c:pt idx="2">
                  <c:v>9.0909999999999993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42.856999999999999</c:v>
                </c:pt>
                <c:pt idx="2">
                  <c:v>21.428999999999998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38.462000000000003</c:v>
                </c:pt>
                <c:pt idx="2">
                  <c:v>23.077000000000002</c:v>
                </c:pt>
                <c:pt idx="3">
                  <c:v>38.462000000000003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958336"/>
        <c:axId val="114959872"/>
      </c:barChart>
      <c:catAx>
        <c:axId val="1149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59872"/>
        <c:crosses val="autoZero"/>
        <c:auto val="1"/>
        <c:lblAlgn val="ctr"/>
        <c:lblOffset val="100"/>
        <c:noMultiLvlLbl val="0"/>
      </c:catAx>
      <c:valAx>
        <c:axId val="11495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5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9.0909999999999993</c:v>
                </c:pt>
                <c:pt idx="2">
                  <c:v>18.181999999999999</c:v>
                </c:pt>
                <c:pt idx="3">
                  <c:v>72.727000000000004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0</c:v>
                </c:pt>
                <c:pt idx="2">
                  <c:v>35.713999999999999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64032"/>
        <c:axId val="114769920"/>
      </c:barChart>
      <c:catAx>
        <c:axId val="1147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69920"/>
        <c:crosses val="autoZero"/>
        <c:auto val="1"/>
        <c:lblAlgn val="ctr"/>
        <c:lblOffset val="100"/>
        <c:noMultiLvlLbl val="0"/>
      </c:catAx>
      <c:valAx>
        <c:axId val="11476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6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36.363999999999997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7.1429999999999998</c:v>
                </c:pt>
                <c:pt idx="1">
                  <c:v>7.1429999999999998</c:v>
                </c:pt>
                <c:pt idx="2">
                  <c:v>35.713999999999999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934912"/>
        <c:axId val="114936448"/>
      </c:barChart>
      <c:catAx>
        <c:axId val="1149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36448"/>
        <c:crosses val="autoZero"/>
        <c:auto val="1"/>
        <c:lblAlgn val="ctr"/>
        <c:lblOffset val="100"/>
        <c:noMultiLvlLbl val="0"/>
      </c:catAx>
      <c:valAx>
        <c:axId val="11493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14.286</c:v>
                </c:pt>
                <c:pt idx="1">
                  <c:v>14.286</c:v>
                </c:pt>
                <c:pt idx="2">
                  <c:v>35.713999999999999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9.0909999999999993</c:v>
                </c:pt>
                <c:pt idx="1">
                  <c:v>9.0909999999999993</c:v>
                </c:pt>
                <c:pt idx="2">
                  <c:v>9.0909999999999993</c:v>
                </c:pt>
                <c:pt idx="3">
                  <c:v>72.727000000000004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5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35.713999999999999</c:v>
                </c:pt>
                <c:pt idx="2">
                  <c:v>57.143000000000001</c:v>
                </c:pt>
                <c:pt idx="3">
                  <c:v>7.1429999999999998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620224"/>
        <c:axId val="107621760"/>
      </c:barChart>
      <c:catAx>
        <c:axId val="10762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21760"/>
        <c:crosses val="autoZero"/>
        <c:auto val="1"/>
        <c:lblAlgn val="ctr"/>
        <c:lblOffset val="100"/>
        <c:noMultiLvlLbl val="0"/>
      </c:catAx>
      <c:valAx>
        <c:axId val="1076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2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11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78.570999999999998</c:v>
                </c:pt>
                <c:pt idx="1">
                  <c:v>21.428999999999998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61.537999999999997</c:v>
                </c:pt>
                <c:pt idx="1">
                  <c:v>38.462000000000003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57408"/>
        <c:axId val="109875584"/>
      </c:barChart>
      <c:catAx>
        <c:axId val="1098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75584"/>
        <c:crosses val="autoZero"/>
        <c:auto val="1"/>
        <c:lblAlgn val="ctr"/>
        <c:lblOffset val="100"/>
        <c:noMultiLvlLbl val="0"/>
      </c:catAx>
      <c:valAx>
        <c:axId val="10987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5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28" totalsRowShown="0" headerRowDxfId="31" dataDxfId="30">
  <autoFilter ref="A1:H28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26" totalsRowShown="0" headerRowDxfId="21" dataDxfId="20">
  <autoFilter ref="A1:L26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zoomScaleNormal="100" workbookViewId="0">
      <selection activeCell="K19" sqref="K19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14</v>
      </c>
      <c r="B3" s="114" t="s">
        <v>9</v>
      </c>
      <c r="C3" s="79" t="s">
        <v>15</v>
      </c>
      <c r="D3" s="79" t="s">
        <v>11</v>
      </c>
      <c r="E3" s="79" t="s">
        <v>12</v>
      </c>
      <c r="F3" s="79" t="s">
        <v>16</v>
      </c>
      <c r="G3" s="79" t="s">
        <v>16</v>
      </c>
      <c r="H3" s="79" t="s">
        <v>16</v>
      </c>
    </row>
    <row r="4" spans="1:10">
      <c r="A4" s="114" t="s">
        <v>14</v>
      </c>
      <c r="B4" s="114" t="s">
        <v>9</v>
      </c>
      <c r="C4" s="79" t="s">
        <v>17</v>
      </c>
      <c r="D4" s="79" t="s">
        <v>18</v>
      </c>
      <c r="E4" s="79" t="s">
        <v>19</v>
      </c>
      <c r="F4" s="79" t="s">
        <v>20</v>
      </c>
      <c r="G4" s="79" t="s">
        <v>20</v>
      </c>
      <c r="H4" s="79" t="s">
        <v>21</v>
      </c>
    </row>
    <row r="5" spans="1:10">
      <c r="A5" s="114" t="s">
        <v>14</v>
      </c>
      <c r="B5" s="114" t="s">
        <v>9</v>
      </c>
      <c r="C5" s="79" t="s">
        <v>17</v>
      </c>
      <c r="D5" s="79" t="s">
        <v>18</v>
      </c>
      <c r="E5" s="79" t="s">
        <v>19</v>
      </c>
      <c r="F5" s="79" t="s">
        <v>22</v>
      </c>
      <c r="G5" s="79" t="s">
        <v>23</v>
      </c>
      <c r="H5" s="79" t="s">
        <v>22</v>
      </c>
    </row>
    <row r="6" spans="1:10">
      <c r="A6" s="114" t="s">
        <v>8</v>
      </c>
      <c r="B6" s="114" t="s">
        <v>9</v>
      </c>
      <c r="C6" s="79" t="s">
        <v>15</v>
      </c>
      <c r="D6" s="79" t="s">
        <v>18</v>
      </c>
      <c r="E6" s="79" t="s">
        <v>12</v>
      </c>
      <c r="F6" s="79" t="s">
        <v>20</v>
      </c>
      <c r="G6" s="79" t="s">
        <v>21</v>
      </c>
      <c r="H6" s="79" t="s">
        <v>20</v>
      </c>
    </row>
    <row r="7" spans="1:10">
      <c r="A7" s="114" t="s">
        <v>8</v>
      </c>
      <c r="B7" s="114" t="s">
        <v>9</v>
      </c>
      <c r="C7" s="79" t="s">
        <v>15</v>
      </c>
      <c r="D7" s="79" t="s">
        <v>11</v>
      </c>
      <c r="E7" s="79" t="s">
        <v>12</v>
      </c>
      <c r="F7" s="79" t="s">
        <v>13</v>
      </c>
      <c r="G7" s="79" t="s">
        <v>13</v>
      </c>
      <c r="H7" s="79" t="s">
        <v>13</v>
      </c>
    </row>
    <row r="8" spans="1:10">
      <c r="A8" s="114" t="s">
        <v>8</v>
      </c>
      <c r="B8" s="114" t="s">
        <v>9</v>
      </c>
      <c r="C8" s="79" t="s">
        <v>10</v>
      </c>
      <c r="D8" s="79" t="s">
        <v>18</v>
      </c>
      <c r="E8" s="79" t="s">
        <v>19</v>
      </c>
      <c r="F8" s="79" t="s">
        <v>20</v>
      </c>
      <c r="G8" s="79" t="s">
        <v>20</v>
      </c>
      <c r="H8" s="79" t="s">
        <v>20</v>
      </c>
    </row>
    <row r="9" spans="1:10">
      <c r="A9" s="114" t="s">
        <v>8</v>
      </c>
      <c r="B9" s="114" t="s">
        <v>9</v>
      </c>
      <c r="C9" s="79" t="s">
        <v>10</v>
      </c>
      <c r="D9" s="79" t="s">
        <v>18</v>
      </c>
      <c r="E9" s="79" t="s">
        <v>19</v>
      </c>
      <c r="F9" s="79" t="s">
        <v>20</v>
      </c>
      <c r="G9" s="79" t="s">
        <v>20</v>
      </c>
      <c r="H9" s="79" t="s">
        <v>20</v>
      </c>
    </row>
    <row r="10" spans="1:10">
      <c r="A10" s="114" t="s">
        <v>8</v>
      </c>
      <c r="B10" s="114" t="s">
        <v>9</v>
      </c>
      <c r="C10" s="79" t="s">
        <v>17</v>
      </c>
      <c r="D10" s="79" t="s">
        <v>11</v>
      </c>
      <c r="E10" s="79" t="s">
        <v>12</v>
      </c>
      <c r="F10" s="79" t="s">
        <v>16</v>
      </c>
      <c r="G10" s="79" t="s">
        <v>13</v>
      </c>
      <c r="H10" s="79" t="s">
        <v>16</v>
      </c>
    </row>
    <row r="11" spans="1:10">
      <c r="A11" s="114" t="s">
        <v>14</v>
      </c>
      <c r="B11" s="114" t="s">
        <v>9</v>
      </c>
      <c r="C11" s="79" t="s">
        <v>17</v>
      </c>
      <c r="D11" s="79" t="s">
        <v>18</v>
      </c>
      <c r="E11" s="79" t="s">
        <v>19</v>
      </c>
      <c r="F11" s="79" t="s">
        <v>20</v>
      </c>
      <c r="G11" s="79" t="s">
        <v>20</v>
      </c>
      <c r="H11" s="79" t="s">
        <v>22</v>
      </c>
    </row>
    <row r="12" spans="1:10">
      <c r="A12" s="114" t="s">
        <v>8</v>
      </c>
      <c r="B12" s="114" t="s">
        <v>9</v>
      </c>
      <c r="C12" s="79" t="s">
        <v>15</v>
      </c>
      <c r="D12" s="79" t="s">
        <v>11</v>
      </c>
      <c r="E12" s="79" t="s">
        <v>19</v>
      </c>
      <c r="F12" s="79" t="s">
        <v>13</v>
      </c>
      <c r="G12" s="79" t="s">
        <v>13</v>
      </c>
      <c r="H12" s="79" t="s">
        <v>13</v>
      </c>
    </row>
    <row r="13" spans="1:10">
      <c r="A13" s="114" t="s">
        <v>8</v>
      </c>
      <c r="B13" s="114" t="s">
        <v>9</v>
      </c>
      <c r="C13" s="79" t="s">
        <v>10</v>
      </c>
      <c r="D13" s="79" t="s">
        <v>18</v>
      </c>
      <c r="E13" s="79" t="s">
        <v>19</v>
      </c>
      <c r="F13" s="79" t="s">
        <v>22</v>
      </c>
      <c r="G13" s="79" t="s">
        <v>21</v>
      </c>
      <c r="H13" s="79" t="s">
        <v>22</v>
      </c>
    </row>
    <row r="14" spans="1:10">
      <c r="A14" s="114" t="s">
        <v>8</v>
      </c>
      <c r="B14" s="114" t="s">
        <v>9</v>
      </c>
      <c r="C14" s="79" t="s">
        <v>15</v>
      </c>
      <c r="D14" s="79" t="s">
        <v>18</v>
      </c>
      <c r="E14" s="79" t="s">
        <v>19</v>
      </c>
      <c r="F14" s="79" t="s">
        <v>13</v>
      </c>
      <c r="G14" s="79" t="s">
        <v>13</v>
      </c>
      <c r="H14" s="79" t="s">
        <v>23</v>
      </c>
    </row>
    <row r="15" spans="1:10">
      <c r="A15" s="114" t="s">
        <v>14</v>
      </c>
      <c r="B15" s="114" t="s">
        <v>9</v>
      </c>
      <c r="C15" s="79" t="s">
        <v>17</v>
      </c>
      <c r="D15" s="79" t="s">
        <v>11</v>
      </c>
      <c r="E15" s="79" t="s">
        <v>19</v>
      </c>
      <c r="F15" s="79" t="s">
        <v>16</v>
      </c>
      <c r="G15" s="79" t="s">
        <v>20</v>
      </c>
      <c r="H15" s="79" t="s">
        <v>23</v>
      </c>
    </row>
    <row r="16" spans="1:10">
      <c r="A16" s="114" t="s">
        <v>14</v>
      </c>
      <c r="B16" s="114" t="s">
        <v>9</v>
      </c>
      <c r="C16" s="79" t="s">
        <v>17</v>
      </c>
      <c r="D16" s="79" t="s">
        <v>18</v>
      </c>
      <c r="E16" s="79" t="s">
        <v>19</v>
      </c>
      <c r="F16" s="79" t="s">
        <v>23</v>
      </c>
      <c r="G16" s="79" t="s">
        <v>23</v>
      </c>
      <c r="H16" s="79" t="s">
        <v>23</v>
      </c>
    </row>
    <row r="17" spans="1:8">
      <c r="A17" s="114" t="s">
        <v>8</v>
      </c>
      <c r="B17" s="114" t="s">
        <v>9</v>
      </c>
      <c r="C17" s="79" t="s">
        <v>17</v>
      </c>
      <c r="D17" s="79" t="s">
        <v>18</v>
      </c>
      <c r="E17" s="79" t="s">
        <v>19</v>
      </c>
      <c r="F17" s="79" t="s">
        <v>20</v>
      </c>
      <c r="G17" s="79" t="s">
        <v>13</v>
      </c>
      <c r="H17" s="79" t="s">
        <v>20</v>
      </c>
    </row>
    <row r="18" spans="1:8">
      <c r="A18" s="114" t="s">
        <v>8</v>
      </c>
      <c r="B18" s="114" t="s">
        <v>9</v>
      </c>
      <c r="C18" s="79" t="s">
        <v>17</v>
      </c>
      <c r="D18" s="79" t="s">
        <v>18</v>
      </c>
      <c r="E18" s="79" t="s">
        <v>19</v>
      </c>
      <c r="F18" s="79" t="s">
        <v>20</v>
      </c>
      <c r="G18" s="79" t="s">
        <v>23</v>
      </c>
      <c r="H18" s="79" t="s">
        <v>22</v>
      </c>
    </row>
    <row r="19" spans="1:8">
      <c r="A19" s="114" t="s">
        <v>14</v>
      </c>
      <c r="B19" s="114" t="s">
        <v>9</v>
      </c>
      <c r="C19" s="79" t="s">
        <v>10</v>
      </c>
      <c r="D19" s="79" t="s">
        <v>18</v>
      </c>
      <c r="E19" s="79" t="s">
        <v>19</v>
      </c>
      <c r="F19" s="79" t="s">
        <v>21</v>
      </c>
      <c r="G19" s="79" t="s">
        <v>21</v>
      </c>
      <c r="H19" s="79" t="s">
        <v>21</v>
      </c>
    </row>
    <row r="20" spans="1:8">
      <c r="A20" s="114" t="s">
        <v>14</v>
      </c>
      <c r="B20" s="114" t="s">
        <v>9</v>
      </c>
      <c r="C20" s="79" t="s">
        <v>10</v>
      </c>
      <c r="D20" s="79" t="s">
        <v>18</v>
      </c>
      <c r="E20" s="79" t="s">
        <v>19</v>
      </c>
      <c r="F20" s="79" t="s">
        <v>13</v>
      </c>
      <c r="G20" s="79" t="s">
        <v>20</v>
      </c>
      <c r="H20" s="79" t="s">
        <v>20</v>
      </c>
    </row>
    <row r="21" spans="1:8">
      <c r="A21" s="114" t="s">
        <v>14</v>
      </c>
      <c r="B21" s="114" t="s">
        <v>9</v>
      </c>
      <c r="C21" s="79" t="s">
        <v>17</v>
      </c>
      <c r="D21" s="79" t="s">
        <v>18</v>
      </c>
      <c r="E21" s="79" t="s">
        <v>19</v>
      </c>
      <c r="F21" s="79" t="s">
        <v>20</v>
      </c>
      <c r="G21" s="79" t="s">
        <v>21</v>
      </c>
      <c r="H21" s="79" t="s">
        <v>21</v>
      </c>
    </row>
    <row r="22" spans="1:8">
      <c r="A22" s="114" t="s">
        <v>14</v>
      </c>
      <c r="B22" s="114" t="s">
        <v>9</v>
      </c>
      <c r="C22" s="79" t="s">
        <v>10</v>
      </c>
      <c r="D22" s="79" t="s">
        <v>18</v>
      </c>
      <c r="E22" s="79" t="s">
        <v>19</v>
      </c>
      <c r="F22" s="79" t="s">
        <v>23</v>
      </c>
      <c r="G22" s="79" t="s">
        <v>23</v>
      </c>
      <c r="H22" s="79" t="s">
        <v>23</v>
      </c>
    </row>
    <row r="23" spans="1:8">
      <c r="A23" s="114" t="s">
        <v>14</v>
      </c>
      <c r="B23" s="114" t="s">
        <v>9</v>
      </c>
      <c r="C23" s="79" t="s">
        <v>17</v>
      </c>
      <c r="D23" s="79" t="s">
        <v>18</v>
      </c>
      <c r="E23" s="79" t="s">
        <v>19</v>
      </c>
      <c r="F23" s="79" t="s">
        <v>21</v>
      </c>
      <c r="G23" s="79" t="s">
        <v>23</v>
      </c>
      <c r="H23" s="79" t="s">
        <v>23</v>
      </c>
    </row>
    <row r="24" spans="1:8">
      <c r="A24" s="114" t="s">
        <v>14</v>
      </c>
      <c r="B24" s="114" t="s">
        <v>9</v>
      </c>
      <c r="C24" s="79" t="s">
        <v>10</v>
      </c>
      <c r="D24" s="79" t="s">
        <v>11</v>
      </c>
      <c r="E24" s="79" t="s">
        <v>12</v>
      </c>
      <c r="F24" s="79" t="s">
        <v>13</v>
      </c>
      <c r="G24" s="79" t="s">
        <v>20</v>
      </c>
      <c r="H24" s="79" t="s">
        <v>20</v>
      </c>
    </row>
    <row r="25" spans="1:8">
      <c r="A25" s="114" t="s">
        <v>14</v>
      </c>
      <c r="B25" s="114" t="s">
        <v>9</v>
      </c>
      <c r="C25" s="79" t="s">
        <v>17</v>
      </c>
      <c r="D25" s="79" t="s">
        <v>18</v>
      </c>
      <c r="E25" s="79" t="s">
        <v>19</v>
      </c>
      <c r="F25" s="79" t="s">
        <v>16</v>
      </c>
      <c r="G25" s="79" t="s">
        <v>22</v>
      </c>
      <c r="H25" s="79" t="s">
        <v>16</v>
      </c>
    </row>
    <row r="26" spans="1:8">
      <c r="A26" s="114" t="s">
        <v>8</v>
      </c>
      <c r="B26" s="114" t="s">
        <v>9</v>
      </c>
      <c r="C26" s="79" t="s">
        <v>15</v>
      </c>
      <c r="D26" s="79" t="s">
        <v>11</v>
      </c>
      <c r="E26" s="79" t="s">
        <v>12</v>
      </c>
      <c r="F26" s="79" t="s">
        <v>16</v>
      </c>
      <c r="G26" s="79" t="s">
        <v>16</v>
      </c>
      <c r="H26" s="79" t="s">
        <v>16</v>
      </c>
    </row>
    <row r="27" spans="1:8">
      <c r="A27" s="114" t="s">
        <v>8</v>
      </c>
      <c r="B27" s="114" t="s">
        <v>9</v>
      </c>
      <c r="C27" s="79" t="s">
        <v>10</v>
      </c>
      <c r="D27" s="79" t="s">
        <v>18</v>
      </c>
      <c r="E27" s="79" t="s">
        <v>19</v>
      </c>
      <c r="F27" s="79" t="s">
        <v>23</v>
      </c>
      <c r="G27" s="79" t="s">
        <v>23</v>
      </c>
      <c r="H27" s="79" t="s">
        <v>23</v>
      </c>
    </row>
    <row r="28" spans="1:8">
      <c r="A28" s="114" t="s">
        <v>14</v>
      </c>
      <c r="B28" s="114" t="s">
        <v>9</v>
      </c>
      <c r="C28" s="79" t="s">
        <v>10</v>
      </c>
      <c r="D28" s="79" t="s">
        <v>18</v>
      </c>
      <c r="E28" s="79" t="s">
        <v>19</v>
      </c>
      <c r="F28" s="79" t="s">
        <v>13</v>
      </c>
      <c r="G28" s="79" t="s">
        <v>20</v>
      </c>
      <c r="H28" s="79" t="s">
        <v>20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31" sqref="D31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23</v>
      </c>
      <c r="C7" s="10">
        <f>COUNTIFS(Resp2[Vínculo],"tecnico",Resp2[2.06],B7)</f>
        <v>1</v>
      </c>
      <c r="D7" s="10">
        <f>COUNTIFS(Resp2[Vínculo],"docente",Resp2[2.06],B7)</f>
        <v>2</v>
      </c>
      <c r="E7" s="10">
        <f>COUNTIF(Resp2[2.06],B7)</f>
        <v>3</v>
      </c>
      <c r="F7" s="25">
        <f t="shared" ref="F7:F13" si="0">ROUND($E7/$E$13*100,2)</f>
        <v>11.11</v>
      </c>
      <c r="G7" s="25">
        <f>ROUND($E7/SUM($E$7:$E$12)*100,3)</f>
        <v>11.111000000000001</v>
      </c>
    </row>
    <row r="8" spans="1:9">
      <c r="B8" s="9" t="s">
        <v>21</v>
      </c>
      <c r="C8" s="10">
        <f>COUNTIFS(Resp2[Vínculo],"tecnico",Resp2[2.06],B8)</f>
        <v>0</v>
      </c>
      <c r="D8" s="10">
        <f>COUNTIFS(Resp2[Vínculo],"docente",Resp2[2.06],B8)</f>
        <v>2</v>
      </c>
      <c r="E8" s="10">
        <f>COUNTIF(Resp2[2.06],B8)</f>
        <v>2</v>
      </c>
      <c r="F8" s="25">
        <f t="shared" si="0"/>
        <v>7.41</v>
      </c>
      <c r="G8" s="25">
        <f t="shared" ref="G8:G12" si="1">ROUND($E8/SUM($E$7:$E$12)*100,3)</f>
        <v>7.407</v>
      </c>
    </row>
    <row r="9" spans="1:9">
      <c r="B9" s="9" t="s">
        <v>22</v>
      </c>
      <c r="C9" s="10">
        <f>COUNTIFS(Resp2[Vínculo],"tecnico",Resp2[2.06],B9)</f>
        <v>1</v>
      </c>
      <c r="D9" s="10">
        <f>COUNTIFS(Resp2[Vínculo],"docente",Resp2[2.06],B9)</f>
        <v>1</v>
      </c>
      <c r="E9" s="10">
        <f>COUNTIF(Resp2[2.06],B9)</f>
        <v>2</v>
      </c>
      <c r="F9" s="25">
        <f t="shared" si="0"/>
        <v>7.41</v>
      </c>
      <c r="G9" s="25">
        <f t="shared" si="1"/>
        <v>7.407</v>
      </c>
    </row>
    <row r="10" spans="1:9">
      <c r="B10" s="9" t="s">
        <v>20</v>
      </c>
      <c r="C10" s="10">
        <f>COUNTIFS(Resp2[Vínculo],"tecnico",Resp2[2.06],B10)</f>
        <v>5</v>
      </c>
      <c r="D10" s="10">
        <f>COUNTIFS(Resp2[Vínculo],"docente",Resp2[2.06],B10)</f>
        <v>3</v>
      </c>
      <c r="E10" s="10">
        <f>COUNTIF(Resp2[2.06],B10)</f>
        <v>8</v>
      </c>
      <c r="F10" s="25">
        <f t="shared" si="0"/>
        <v>29.63</v>
      </c>
      <c r="G10" s="25">
        <f t="shared" si="1"/>
        <v>29.63</v>
      </c>
    </row>
    <row r="11" spans="1:9">
      <c r="B11" s="9" t="s">
        <v>13</v>
      </c>
      <c r="C11" s="10">
        <f>COUNTIFS(Resp2[Vínculo],"tecnico",Resp2[2.06],B11)</f>
        <v>4</v>
      </c>
      <c r="D11" s="10">
        <f>COUNTIFS(Resp2[Vínculo],"docente",Resp2[2.06],B11)</f>
        <v>3</v>
      </c>
      <c r="E11" s="10">
        <f>COUNTIF(Resp2[2.06],B11)</f>
        <v>7</v>
      </c>
      <c r="F11" s="25">
        <f t="shared" si="0"/>
        <v>25.93</v>
      </c>
      <c r="G11" s="25">
        <f t="shared" si="1"/>
        <v>25.925999999999998</v>
      </c>
    </row>
    <row r="12" spans="1:9">
      <c r="B12" s="101" t="s">
        <v>16</v>
      </c>
      <c r="C12" s="100">
        <f>COUNTIFS(Resp2[Vínculo],"tecnico",Resp2[2.06],B12)</f>
        <v>2</v>
      </c>
      <c r="D12" s="100">
        <f>COUNTIFS(Resp2[Vínculo],"docente",Resp2[2.06],B12)</f>
        <v>3</v>
      </c>
      <c r="E12" s="100">
        <f>COUNTIF(Resp2[2.06],B12)</f>
        <v>5</v>
      </c>
      <c r="F12" s="102">
        <f t="shared" si="0"/>
        <v>18.52</v>
      </c>
      <c r="G12" s="102">
        <f t="shared" si="1"/>
        <v>18.518999999999998</v>
      </c>
    </row>
    <row r="13" spans="1:9">
      <c r="B13" s="10" t="s">
        <v>167</v>
      </c>
      <c r="C13" s="10">
        <f>SUM(C6:C12)</f>
        <v>13</v>
      </c>
      <c r="D13" s="10">
        <f>SUM(D6:D12)</f>
        <v>14</v>
      </c>
      <c r="E13" s="10">
        <f>SUM(C13:D13)</f>
        <v>27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1</v>
      </c>
      <c r="E18" s="44">
        <f>ROUND(D18/SUM(D$18:D$21)*100,3)</f>
        <v>7.6920000000000002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1</v>
      </c>
      <c r="E19" s="44">
        <f t="shared" ref="E19:E21" si="2">ROUND(D19/SUM(D$18:D$21)*100,3)</f>
        <v>7.6920000000000002</v>
      </c>
      <c r="F19" s="37"/>
      <c r="G19" s="38"/>
    </row>
    <row r="20" spans="2:7">
      <c r="B20" s="31" t="s">
        <v>20</v>
      </c>
      <c r="C20" s="31" t="s">
        <v>90</v>
      </c>
      <c r="D20" s="15">
        <f>C10</f>
        <v>5</v>
      </c>
      <c r="E20" s="44">
        <f t="shared" si="2"/>
        <v>38.462000000000003</v>
      </c>
    </row>
    <row r="21" spans="2:7">
      <c r="B21" s="52" t="s">
        <v>96</v>
      </c>
      <c r="C21" s="52" t="s">
        <v>95</v>
      </c>
      <c r="D21" s="33">
        <f>SUM(C11:C12)</f>
        <v>6</v>
      </c>
      <c r="E21" s="45">
        <f t="shared" si="2"/>
        <v>46.154000000000003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3</v>
      </c>
      <c r="E25" s="44">
        <f>ROUND(D25/SUM(D$25:D$28)*100,3)</f>
        <v>21.428999999999998</v>
      </c>
    </row>
    <row r="26" spans="2:7">
      <c r="B26" s="30" t="s">
        <v>181</v>
      </c>
      <c r="C26" s="30" t="s">
        <v>78</v>
      </c>
      <c r="D26" s="15">
        <f>D7</f>
        <v>2</v>
      </c>
      <c r="E26" s="44">
        <f>ROUND(D26/SUM(D$25:D$28)*100,3)</f>
        <v>14.286</v>
      </c>
    </row>
    <row r="27" spans="2:7">
      <c r="B27" s="31" t="s">
        <v>20</v>
      </c>
      <c r="C27" s="31" t="s">
        <v>90</v>
      </c>
      <c r="D27" s="15">
        <f>D10</f>
        <v>3</v>
      </c>
      <c r="E27" s="44">
        <f>ROUND(D27/SUM(D$25:D$28)*100,3)</f>
        <v>21.428999999999998</v>
      </c>
    </row>
    <row r="28" spans="2:7">
      <c r="B28" s="32" t="s">
        <v>96</v>
      </c>
      <c r="C28" s="32" t="s">
        <v>95</v>
      </c>
      <c r="D28" s="33">
        <f>SUM(D11:D12)</f>
        <v>6</v>
      </c>
      <c r="E28" s="45">
        <f>ROUND(D28/SUM(D$25:D$28)*100,3)</f>
        <v>42.856999999999999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5" workbookViewId="0">
      <selection activeCell="D20" sqref="D20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COUNTIFS(Resp2[Vínculo],"tecnico",Resp2[2.07],B7)</f>
        <v>2</v>
      </c>
      <c r="D7" s="10">
        <f>COUNTIFS(Resp2[Vínculo],"docente",Resp2[2.07],B7)</f>
        <v>4</v>
      </c>
      <c r="E7" s="10">
        <f>COUNTIF(Resp2[2.07],B7)</f>
        <v>6</v>
      </c>
      <c r="F7" s="25">
        <f t="shared" ref="F7:F12" si="0">ROUND($E7/$E$13*100,2)</f>
        <v>22.22</v>
      </c>
      <c r="G7" s="25">
        <f>ROUND($E7/SUM($E$7:$E$12)*100,3)</f>
        <v>22.222000000000001</v>
      </c>
    </row>
    <row r="8" spans="1:7">
      <c r="B8" s="9" t="s">
        <v>21</v>
      </c>
      <c r="C8" s="10">
        <f>COUNTIFS(Resp2[Vínculo],"tecnico",Resp2[2.07],B8)</f>
        <v>2</v>
      </c>
      <c r="D8" s="10">
        <f>COUNTIFS(Resp2[Vínculo],"docente",Resp2[2.07],B8)</f>
        <v>2</v>
      </c>
      <c r="E8" s="10">
        <f>COUNTIF(Resp2[2.07],B8)</f>
        <v>4</v>
      </c>
      <c r="F8" s="25">
        <f t="shared" si="0"/>
        <v>14.81</v>
      </c>
      <c r="G8" s="25">
        <f t="shared" ref="G8:G12" si="1">ROUND($E8/SUM($E$7:$E$12)*100,3)</f>
        <v>14.815</v>
      </c>
    </row>
    <row r="9" spans="1:7">
      <c r="B9" s="9" t="s">
        <v>22</v>
      </c>
      <c r="C9" s="10">
        <f>COUNTIFS(Resp2[Vínculo],"tecnico",Resp2[2.07],B9)</f>
        <v>0</v>
      </c>
      <c r="D9" s="10">
        <f>COUNTIFS(Resp2[Vínculo],"docente",Resp2[2.07],B9)</f>
        <v>1</v>
      </c>
      <c r="E9" s="10">
        <f>COUNTIF(Resp2[2.07],B9)</f>
        <v>1</v>
      </c>
      <c r="F9" s="25">
        <f t="shared" si="0"/>
        <v>3.7</v>
      </c>
      <c r="G9" s="25">
        <f t="shared" si="1"/>
        <v>3.7040000000000002</v>
      </c>
    </row>
    <row r="10" spans="1:7">
      <c r="B10" s="9" t="s">
        <v>20</v>
      </c>
      <c r="C10" s="10">
        <f>COUNTIFS(Resp2[Vínculo],"tecnico",Resp2[2.07],B10)</f>
        <v>2</v>
      </c>
      <c r="D10" s="10">
        <f>COUNTIFS(Resp2[Vínculo],"docente",Resp2[2.07],B10)</f>
        <v>6</v>
      </c>
      <c r="E10" s="10">
        <f>COUNTIF(Resp2[2.07],B10)</f>
        <v>8</v>
      </c>
      <c r="F10" s="25">
        <f t="shared" si="0"/>
        <v>29.63</v>
      </c>
      <c r="G10" s="25">
        <f t="shared" si="1"/>
        <v>29.63</v>
      </c>
    </row>
    <row r="11" spans="1:7">
      <c r="B11" s="9" t="s">
        <v>13</v>
      </c>
      <c r="C11" s="10">
        <f>COUNTIFS(Resp2[Vínculo],"tecnico",Resp2[2.07],B11)</f>
        <v>6</v>
      </c>
      <c r="D11" s="10">
        <f>COUNTIFS(Resp2[Vínculo],"docente",Resp2[2.07],B11)</f>
        <v>0</v>
      </c>
      <c r="E11" s="10">
        <f>COUNTIF(Resp2[2.07],B11)</f>
        <v>6</v>
      </c>
      <c r="F11" s="25">
        <f t="shared" si="0"/>
        <v>22.22</v>
      </c>
      <c r="G11" s="25">
        <f t="shared" si="1"/>
        <v>22.222000000000001</v>
      </c>
    </row>
    <row r="12" spans="1:7">
      <c r="B12" s="26" t="s">
        <v>16</v>
      </c>
      <c r="C12" s="10">
        <f>COUNTIFS(Resp2[Vínculo],"tecnico",Resp2[2.07],B12)</f>
        <v>1</v>
      </c>
      <c r="D12" s="10">
        <f>COUNTIFS(Resp2[Vínculo],"docente",Resp2[2.07],B12)</f>
        <v>1</v>
      </c>
      <c r="E12" s="10">
        <f>COUNTIF(Resp2[2.07],B12)</f>
        <v>2</v>
      </c>
      <c r="F12" s="102">
        <f t="shared" si="0"/>
        <v>7.41</v>
      </c>
      <c r="G12" s="25">
        <f t="shared" si="1"/>
        <v>7.407</v>
      </c>
    </row>
    <row r="13" spans="1:7">
      <c r="B13" s="9" t="s">
        <v>167</v>
      </c>
      <c r="C13" s="11">
        <f>SUM(C6:C12)</f>
        <v>13</v>
      </c>
      <c r="D13" s="11">
        <f>SUM(D6:D12)</f>
        <v>14</v>
      </c>
      <c r="E13" s="11">
        <f>SUM(C13:D13)</f>
        <v>27</v>
      </c>
      <c r="F13" s="105">
        <f>ROUND($E13/$E$13*100,2)</f>
        <v>100</v>
      </c>
      <c r="G13" s="107">
        <f>SUM(G7:G12)</f>
        <v>99.999999999999986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15.385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2</v>
      </c>
      <c r="E19" s="39">
        <f t="shared" ref="E19:E21" si="2">ROUND(D19/SUM(D$18:D$21)*100,3)</f>
        <v>15.385</v>
      </c>
      <c r="F19" s="15"/>
      <c r="G19" s="10"/>
    </row>
    <row r="20" spans="2:7">
      <c r="B20" s="31" t="s">
        <v>20</v>
      </c>
      <c r="C20" s="31" t="s">
        <v>90</v>
      </c>
      <c r="D20" s="15">
        <f>C10</f>
        <v>2</v>
      </c>
      <c r="E20" s="39">
        <f t="shared" si="2"/>
        <v>15.385</v>
      </c>
    </row>
    <row r="21" spans="2:7">
      <c r="B21" s="32" t="s">
        <v>96</v>
      </c>
      <c r="C21" s="32" t="s">
        <v>95</v>
      </c>
      <c r="D21" s="33">
        <f>SUM(C11:C12)</f>
        <v>7</v>
      </c>
      <c r="E21" s="42">
        <f t="shared" si="2"/>
        <v>53.845999999999997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3</v>
      </c>
      <c r="E25" s="39">
        <f>ROUND(D25/SUM(D$25:D$28)*100,3)</f>
        <v>21.428999999999998</v>
      </c>
    </row>
    <row r="26" spans="2:7">
      <c r="B26" s="30" t="s">
        <v>181</v>
      </c>
      <c r="C26" s="30" t="s">
        <v>78</v>
      </c>
      <c r="D26" s="15">
        <f>D7</f>
        <v>4</v>
      </c>
      <c r="E26" s="39">
        <f>ROUND(D26/SUM(D$25:D$28)*100,3)</f>
        <v>28.571000000000002</v>
      </c>
    </row>
    <row r="27" spans="2:7">
      <c r="B27" s="31" t="s">
        <v>20</v>
      </c>
      <c r="C27" s="31" t="s">
        <v>90</v>
      </c>
      <c r="D27" s="15">
        <f>D10</f>
        <v>6</v>
      </c>
      <c r="E27" s="39">
        <f>ROUND(D27/SUM(D$25:D$28)*100,3)</f>
        <v>42.856999999999999</v>
      </c>
    </row>
    <row r="28" spans="2:7">
      <c r="B28" s="32" t="s">
        <v>96</v>
      </c>
      <c r="C28" s="32" t="s">
        <v>95</v>
      </c>
      <c r="D28" s="33">
        <f>SUM(D11:D12)</f>
        <v>1</v>
      </c>
      <c r="E28" s="42">
        <f>ROUND(D28/SUM(D$25:D$28)*100,3)</f>
        <v>7.1429999999999998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workbookViewId="0">
      <selection activeCell="G32" sqref="G32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COUNTIFS(Resp2[Vínculo],"tecnico",Resp2[2.08],B7)</f>
        <v>2</v>
      </c>
      <c r="D7" s="10">
        <f>COUNTIFS(Resp2[Vínculo],"docente",Resp2[2.08],B7)</f>
        <v>4</v>
      </c>
      <c r="E7" s="10">
        <f>COUNTIF(Resp2[2.08],B7)</f>
        <v>6</v>
      </c>
      <c r="F7" s="25">
        <f t="shared" ref="F7:F13" si="0">ROUND($E7/$E$13*100,2)</f>
        <v>22.22</v>
      </c>
      <c r="G7" s="25">
        <f>ROUND($E7/SUM($E$7:$E$12)*100,3)</f>
        <v>22.222000000000001</v>
      </c>
    </row>
    <row r="8" spans="1:7">
      <c r="B8" s="9" t="s">
        <v>21</v>
      </c>
      <c r="C8" s="10">
        <f>COUNTIFS(Resp2[Vínculo],"tecnico",Resp2[2.08],B8)</f>
        <v>0</v>
      </c>
      <c r="D8" s="10">
        <f>COUNTIFS(Resp2[Vínculo],"docente",Resp2[2.08],B8)</f>
        <v>3</v>
      </c>
      <c r="E8" s="10">
        <f>COUNTIF(Resp2[2.08],B8)</f>
        <v>3</v>
      </c>
      <c r="F8" s="25">
        <f t="shared" si="0"/>
        <v>11.11</v>
      </c>
      <c r="G8" s="25">
        <f t="shared" ref="G8:G12" si="1">ROUND($E8/SUM($E$7:$E$12)*100,3)</f>
        <v>11.111000000000001</v>
      </c>
    </row>
    <row r="9" spans="1:7">
      <c r="B9" s="9" t="s">
        <v>22</v>
      </c>
      <c r="C9" s="10">
        <f>COUNTIFS(Resp2[Vínculo],"tecnico",Resp2[2.08],B9)</f>
        <v>2</v>
      </c>
      <c r="D9" s="10">
        <f>COUNTIFS(Resp2[Vínculo],"docente",Resp2[2.08],B9)</f>
        <v>2</v>
      </c>
      <c r="E9" s="10">
        <f>COUNTIF(Resp2[2.08],B9)</f>
        <v>4</v>
      </c>
      <c r="F9" s="25">
        <f t="shared" si="0"/>
        <v>14.81</v>
      </c>
      <c r="G9" s="25">
        <f t="shared" si="1"/>
        <v>14.815</v>
      </c>
    </row>
    <row r="10" spans="1:7">
      <c r="B10" s="9" t="s">
        <v>20</v>
      </c>
      <c r="C10" s="10">
        <f>COUNTIFS(Resp2[Vínculo],"tecnico",Resp2[2.08],B10)</f>
        <v>4</v>
      </c>
      <c r="D10" s="10">
        <f>COUNTIFS(Resp2[Vínculo],"docente",Resp2[2.08],B10)</f>
        <v>3</v>
      </c>
      <c r="E10" s="10">
        <f>COUNTIF(Resp2[2.08],B10)</f>
        <v>7</v>
      </c>
      <c r="F10" s="25">
        <f t="shared" si="0"/>
        <v>25.93</v>
      </c>
      <c r="G10" s="25">
        <f t="shared" si="1"/>
        <v>25.925999999999998</v>
      </c>
    </row>
    <row r="11" spans="1:7">
      <c r="B11" s="9" t="s">
        <v>13</v>
      </c>
      <c r="C11" s="10">
        <f>COUNTIFS(Resp2[Vínculo],"tecnico",Resp2[2.08],B11)</f>
        <v>3</v>
      </c>
      <c r="D11" s="10">
        <f>COUNTIFS(Resp2[Vínculo],"docente",Resp2[2.08],B11)</f>
        <v>0</v>
      </c>
      <c r="E11" s="10">
        <f>COUNTIF(Resp2[2.08],B11)</f>
        <v>3</v>
      </c>
      <c r="F11" s="25">
        <f t="shared" si="0"/>
        <v>11.11</v>
      </c>
      <c r="G11" s="25">
        <f t="shared" si="1"/>
        <v>11.111000000000001</v>
      </c>
    </row>
    <row r="12" spans="1:7">
      <c r="B12" s="26" t="s">
        <v>16</v>
      </c>
      <c r="C12" s="10">
        <f>COUNTIFS(Resp2[Vínculo],"tecnico",Resp2[2.08],B12)</f>
        <v>2</v>
      </c>
      <c r="D12" s="10">
        <f>COUNTIFS(Resp2[Vínculo],"docente",Resp2[2.08],B12)</f>
        <v>2</v>
      </c>
      <c r="E12" s="10">
        <f>COUNTIF(Resp2[2.08],B12)</f>
        <v>4</v>
      </c>
      <c r="F12" s="102">
        <f t="shared" si="0"/>
        <v>14.81</v>
      </c>
      <c r="G12" s="25">
        <f t="shared" si="1"/>
        <v>14.815</v>
      </c>
    </row>
    <row r="13" spans="1:7">
      <c r="B13" s="27" t="s">
        <v>167</v>
      </c>
      <c r="C13" s="11">
        <f>SUM(C6:C12)</f>
        <v>13</v>
      </c>
      <c r="D13" s="11">
        <f>SUM(D6:D12)</f>
        <v>14</v>
      </c>
      <c r="E13" s="11">
        <f>SUM(C13:D13)</f>
        <v>27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15.385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2</v>
      </c>
      <c r="E19" s="39">
        <f t="shared" ref="E19:E21" si="2">ROUND(D19/SUM(D$18:D$21)*100,3)</f>
        <v>15.385</v>
      </c>
      <c r="F19" s="15"/>
      <c r="G19" s="10"/>
    </row>
    <row r="20" spans="2:7">
      <c r="B20" s="31" t="s">
        <v>20</v>
      </c>
      <c r="C20" s="31" t="s">
        <v>90</v>
      </c>
      <c r="D20" s="15">
        <f>C10</f>
        <v>4</v>
      </c>
      <c r="E20" s="39">
        <f t="shared" si="2"/>
        <v>30.768999999999998</v>
      </c>
    </row>
    <row r="21" spans="2:7">
      <c r="B21" s="32" t="s">
        <v>96</v>
      </c>
      <c r="C21" s="32" t="s">
        <v>95</v>
      </c>
      <c r="D21" s="33">
        <f>SUM(C11:C12)</f>
        <v>5</v>
      </c>
      <c r="E21" s="42">
        <f t="shared" si="2"/>
        <v>38.462000000000003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5</v>
      </c>
      <c r="E25" s="39">
        <f>ROUND(D25/SUM(D$25:D$28)*100,3)</f>
        <v>35.713999999999999</v>
      </c>
    </row>
    <row r="26" spans="2:7">
      <c r="B26" s="30" t="s">
        <v>181</v>
      </c>
      <c r="C26" s="30" t="s">
        <v>78</v>
      </c>
      <c r="D26" s="15">
        <f>D7</f>
        <v>4</v>
      </c>
      <c r="E26" s="39">
        <f>ROUND(D26/SUM(D$25:D$28)*100,3)</f>
        <v>28.571000000000002</v>
      </c>
    </row>
    <row r="27" spans="2:7">
      <c r="B27" s="31" t="s">
        <v>20</v>
      </c>
      <c r="C27" s="31" t="s">
        <v>90</v>
      </c>
      <c r="D27" s="15">
        <f>D10</f>
        <v>3</v>
      </c>
      <c r="E27" s="39">
        <f>ROUND(D27/SUM(D$25:D$28)*100,3)</f>
        <v>21.428999999999998</v>
      </c>
    </row>
    <row r="28" spans="2:7">
      <c r="B28" s="32" t="s">
        <v>96</v>
      </c>
      <c r="C28" s="32" t="s">
        <v>95</v>
      </c>
      <c r="D28" s="33">
        <f>SUM(D11:D12)</f>
        <v>2</v>
      </c>
      <c r="E28" s="42">
        <f>ROUND(D28/SUM(D$25:D$28)*100,3)</f>
        <v>14.286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0" workbookViewId="0">
      <selection activeCell="F31" sqref="F31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COUNTIFS(Resp3[Vínculo],"tecnico",Resp3[3.01],B7)</f>
        <v>2</v>
      </c>
      <c r="D7" s="10">
        <f>COUNTIFS(Resp3[Vínculo],"docente",Resp3[3.01],B7)</f>
        <v>8</v>
      </c>
      <c r="E7" s="10">
        <f>COUNTIF(Resp3[3.01],B7)</f>
        <v>10</v>
      </c>
      <c r="F7" s="25">
        <f t="shared" ref="F7:F13" si="0">ROUND($E7/$E$13*100,2)</f>
        <v>40</v>
      </c>
      <c r="G7" s="25">
        <f>ROUND($E7/SUM($E$7:$E$12)*100,3)</f>
        <v>40</v>
      </c>
    </row>
    <row r="8" spans="1:7">
      <c r="B8" s="9" t="s">
        <v>21</v>
      </c>
      <c r="C8" s="10">
        <f>COUNTIFS(Resp3[Vínculo],"tecnico",Resp3[3.01],B8)</f>
        <v>0</v>
      </c>
      <c r="D8" s="10">
        <f>COUNTIFS(Resp3[Vínculo],"docente",Resp3[3.01],B8)</f>
        <v>1</v>
      </c>
      <c r="E8" s="10">
        <f>COUNTIF(Resp3[3.01],B8)</f>
        <v>1</v>
      </c>
      <c r="F8" s="25">
        <f t="shared" si="0"/>
        <v>4</v>
      </c>
      <c r="G8" s="25">
        <f t="shared" ref="G8:G12" si="1">ROUND($E8/SUM($E$7:$E$12)*100,3)</f>
        <v>4</v>
      </c>
    </row>
    <row r="9" spans="1:7">
      <c r="B9" s="9" t="s">
        <v>22</v>
      </c>
      <c r="C9" s="10">
        <f>COUNTIFS(Resp3[Vínculo],"tecnico",Resp3[3.01],B9)</f>
        <v>2</v>
      </c>
      <c r="D9" s="10">
        <f>COUNTIFS(Resp3[Vínculo],"docente",Resp3[3.01],B9)</f>
        <v>0</v>
      </c>
      <c r="E9" s="10">
        <f>COUNTIF(Resp3[3.01],B9)</f>
        <v>2</v>
      </c>
      <c r="F9" s="25">
        <f t="shared" si="0"/>
        <v>8</v>
      </c>
      <c r="G9" s="25">
        <f t="shared" si="1"/>
        <v>8</v>
      </c>
    </row>
    <row r="10" spans="1:7">
      <c r="B10" s="9" t="s">
        <v>20</v>
      </c>
      <c r="C10" s="10">
        <f>COUNTIFS(Resp3[Vínculo],"tecnico",Resp3[3.01],B10)</f>
        <v>1</v>
      </c>
      <c r="D10" s="10">
        <f>COUNTIFS(Resp3[Vínculo],"docente",Resp3[3.01],B10)</f>
        <v>1</v>
      </c>
      <c r="E10" s="10">
        <f>COUNTIF(Resp3[3.01],B10)</f>
        <v>2</v>
      </c>
      <c r="F10" s="25">
        <f t="shared" si="0"/>
        <v>8</v>
      </c>
      <c r="G10" s="25">
        <f t="shared" si="1"/>
        <v>8</v>
      </c>
    </row>
    <row r="11" spans="1:7">
      <c r="B11" s="9" t="s">
        <v>13</v>
      </c>
      <c r="C11" s="10">
        <f>COUNTIFS(Resp3[Vínculo],"tecnico",Resp3[3.01],B11)</f>
        <v>5</v>
      </c>
      <c r="D11" s="10">
        <f>COUNTIFS(Resp3[Vínculo],"docente",Resp3[3.01],B11)</f>
        <v>3</v>
      </c>
      <c r="E11" s="10">
        <f>COUNTIF(Resp3[3.01],B11)</f>
        <v>8</v>
      </c>
      <c r="F11" s="25">
        <f t="shared" si="0"/>
        <v>32</v>
      </c>
      <c r="G11" s="25">
        <f t="shared" si="1"/>
        <v>32</v>
      </c>
    </row>
    <row r="12" spans="1:7">
      <c r="B12" s="26" t="s">
        <v>16</v>
      </c>
      <c r="C12" s="10">
        <f>COUNTIFS(Resp3[Vínculo],"tecnico",Resp3[3.01],B12)</f>
        <v>1</v>
      </c>
      <c r="D12" s="10">
        <f>COUNTIFS(Resp3[Vínculo],"docente",Resp3[3.01],B12)</f>
        <v>1</v>
      </c>
      <c r="E12" s="10">
        <f>COUNTIF(Resp3[3.01],B12)</f>
        <v>2</v>
      </c>
      <c r="F12" s="102">
        <f t="shared" si="0"/>
        <v>8</v>
      </c>
      <c r="G12" s="25">
        <f t="shared" si="1"/>
        <v>8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3">
        <f>ROUND(D19/SUM(D$19:D$22)*100,3)</f>
        <v>18.181999999999999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18.181999999999999</v>
      </c>
    </row>
    <row r="21" spans="2:7">
      <c r="B21" s="31" t="s">
        <v>20</v>
      </c>
      <c r="C21" s="31" t="s">
        <v>90</v>
      </c>
      <c r="D21" s="15">
        <f>C10</f>
        <v>1</v>
      </c>
      <c r="E21" s="44">
        <f>ROUND(D21/SUM(D$19:D$22)*100,3)</f>
        <v>9.0909999999999993</v>
      </c>
    </row>
    <row r="22" spans="2:7">
      <c r="B22" s="32" t="s">
        <v>96</v>
      </c>
      <c r="C22" s="32" t="s">
        <v>95</v>
      </c>
      <c r="D22" s="33">
        <f>SUM(C11:C12)</f>
        <v>6</v>
      </c>
      <c r="E22" s="45">
        <f>ROUND(D22/SUM(D$19:D$22)*100,3)</f>
        <v>54.545000000000002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8</v>
      </c>
      <c r="E27" s="44">
        <f>ROUND(D27/SUM(D$26:D$29)*100,3)</f>
        <v>57.143000000000001</v>
      </c>
    </row>
    <row r="28" spans="2:7">
      <c r="B28" s="31" t="s">
        <v>20</v>
      </c>
      <c r="C28" s="31" t="s">
        <v>90</v>
      </c>
      <c r="D28" s="15">
        <f>SUM(D10)</f>
        <v>1</v>
      </c>
      <c r="E28" s="44">
        <f>ROUND(D28/SUM(D$26:D$29)*100,3)</f>
        <v>7.1429999999999998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23</v>
      </c>
      <c r="C7" s="10">
        <f>COUNTIFS(Resp3[Vínculo],"tecnico",Resp3[3.02],B7)</f>
        <v>2</v>
      </c>
      <c r="D7" s="10">
        <f>COUNTIFS(Resp3[Vínculo],"docente",Resp3[3.02],B7)</f>
        <v>8</v>
      </c>
      <c r="E7" s="10">
        <f>COUNTIF(Resp3[3.02],B7)</f>
        <v>10</v>
      </c>
      <c r="F7" s="25">
        <f t="shared" ref="F7:F13" si="0">ROUND($E7/E$13*100,2)</f>
        <v>40</v>
      </c>
      <c r="G7" s="25">
        <f>ROUND($E7/SUM($E$7:$E$12)*100,3)</f>
        <v>40</v>
      </c>
    </row>
    <row r="8" spans="1:7">
      <c r="B8" s="9" t="s">
        <v>21</v>
      </c>
      <c r="C8" s="10">
        <f>COUNTIFS(Resp3[Vínculo],"tecnico",Resp3[3.02],B8)</f>
        <v>0</v>
      </c>
      <c r="D8" s="10">
        <f>COUNTIFS(Resp3[Vínculo],"docente",Resp3[3.02],B8)</f>
        <v>1</v>
      </c>
      <c r="E8" s="10">
        <f>COUNTIF(Resp3[3.02],B8)</f>
        <v>1</v>
      </c>
      <c r="F8" s="25">
        <f t="shared" si="0"/>
        <v>4</v>
      </c>
      <c r="G8" s="25">
        <f t="shared" ref="G8:G12" si="1">ROUND($E8/SUM($E$7:$E$12)*100,3)</f>
        <v>4</v>
      </c>
    </row>
    <row r="9" spans="1:7">
      <c r="B9" s="9" t="s">
        <v>22</v>
      </c>
      <c r="C9" s="10">
        <f>COUNTIFS(Resp3[Vínculo],"tecnico",Resp3[3.02],B9)</f>
        <v>1</v>
      </c>
      <c r="D9" s="10">
        <f>COUNTIFS(Resp3[Vínculo],"docente",Resp3[3.02],B9)</f>
        <v>0</v>
      </c>
      <c r="E9" s="10">
        <f>COUNTIF(Resp3[3.02],B9)</f>
        <v>1</v>
      </c>
      <c r="F9" s="25">
        <f t="shared" si="0"/>
        <v>4</v>
      </c>
      <c r="G9" s="25">
        <f t="shared" si="1"/>
        <v>4</v>
      </c>
    </row>
    <row r="10" spans="1:7">
      <c r="B10" s="9" t="s">
        <v>20</v>
      </c>
      <c r="C10" s="10">
        <f>COUNTIFS(Resp3[Vínculo],"tecnico",Resp3[3.02],B10)</f>
        <v>2</v>
      </c>
      <c r="D10" s="10">
        <f>COUNTIFS(Resp3[Vínculo],"docente",Resp3[3.02],B10)</f>
        <v>1</v>
      </c>
      <c r="E10" s="10">
        <f>COUNTIF(Resp3[3.02],B10)</f>
        <v>3</v>
      </c>
      <c r="F10" s="25">
        <f t="shared" si="0"/>
        <v>12</v>
      </c>
      <c r="G10" s="25">
        <f t="shared" si="1"/>
        <v>12</v>
      </c>
    </row>
    <row r="11" spans="1:7">
      <c r="B11" s="9" t="s">
        <v>13</v>
      </c>
      <c r="C11" s="10">
        <f>COUNTIFS(Resp3[Vínculo],"tecnico",Resp3[3.02],B11)</f>
        <v>3</v>
      </c>
      <c r="D11" s="10">
        <f>COUNTIFS(Resp3[Vínculo],"docente",Resp3[3.02],B11)</f>
        <v>3</v>
      </c>
      <c r="E11" s="10">
        <f>COUNTIF(Resp3[3.02],B11)</f>
        <v>6</v>
      </c>
      <c r="F11" s="25">
        <f t="shared" si="0"/>
        <v>24</v>
      </c>
      <c r="G11" s="25">
        <f t="shared" si="1"/>
        <v>24</v>
      </c>
    </row>
    <row r="12" spans="1:7">
      <c r="B12" s="26" t="s">
        <v>16</v>
      </c>
      <c r="C12" s="10">
        <f>COUNTIFS(Resp3[Vínculo],"tecnico",Resp3[3.02],B12)</f>
        <v>3</v>
      </c>
      <c r="D12" s="10">
        <f>COUNTIFS(Resp3[Vínculo],"docente",Resp3[3.02],B12)</f>
        <v>1</v>
      </c>
      <c r="E12" s="10">
        <f>COUNTIF(Resp3[3.02],B12)</f>
        <v>4</v>
      </c>
      <c r="F12" s="102">
        <f t="shared" si="0"/>
        <v>16</v>
      </c>
      <c r="G12" s="25">
        <f t="shared" si="1"/>
        <v>16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10">
        <f>ROUND(D20/SUM(D$19:D$22)*100,3)</f>
        <v>18.181999999999999</v>
      </c>
    </row>
    <row r="21" spans="2:7">
      <c r="B21" s="31" t="s">
        <v>20</v>
      </c>
      <c r="C21" s="31" t="s">
        <v>90</v>
      </c>
      <c r="D21" s="15">
        <f>C10</f>
        <v>2</v>
      </c>
      <c r="E21" s="10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6</v>
      </c>
      <c r="E22" s="34">
        <f>ROUND(D22/SUM(D$19:D$22)*100,3)</f>
        <v>54.545000000000002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8</v>
      </c>
      <c r="E27" s="44">
        <f>ROUND(D27/SUM(D$26:D$29)*100,3)</f>
        <v>57.143000000000001</v>
      </c>
    </row>
    <row r="28" spans="2:7">
      <c r="B28" s="31" t="s">
        <v>20</v>
      </c>
      <c r="C28" s="31" t="s">
        <v>90</v>
      </c>
      <c r="D28" s="15">
        <f>SUM(D10)</f>
        <v>1</v>
      </c>
      <c r="E28" s="44">
        <f>ROUND(D28/SUM(D$26:D$29)*100,3)</f>
        <v>7.1429999999999998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COUNTIFS(Resp3[Vínculo],"tecnico",Resp3[3.03],B7)</f>
        <v>6</v>
      </c>
      <c r="D7" s="10">
        <f>COUNTIFS(Resp3[Vínculo],"docente",Resp3[3.03],B7)</f>
        <v>6</v>
      </c>
      <c r="E7" s="10">
        <f>COUNTIF(Resp3[3.03],B7)</f>
        <v>12</v>
      </c>
      <c r="F7" s="25">
        <f t="shared" ref="F7:F13" si="0">ROUND($E7/$E$13*100,2)</f>
        <v>48</v>
      </c>
      <c r="G7" s="25">
        <f>ROUND($E7/SUM($E$7:$E$12)*100,3)</f>
        <v>48</v>
      </c>
    </row>
    <row r="8" spans="1:7">
      <c r="B8" s="9" t="s">
        <v>21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22</v>
      </c>
      <c r="C9" s="10">
        <f>COUNTIFS(Resp3[Vínculo],"tecnico",Resp3[3.03],B9)</f>
        <v>1</v>
      </c>
      <c r="D9" s="10">
        <f>COUNTIFS(Resp3[Vínculo],"docente",Resp3[3.03],B9)</f>
        <v>1</v>
      </c>
      <c r="E9" s="10">
        <f>COUNTIF(Resp3[3.03],B9)</f>
        <v>2</v>
      </c>
      <c r="F9" s="25">
        <f t="shared" si="0"/>
        <v>8</v>
      </c>
      <c r="G9" s="25">
        <f t="shared" si="1"/>
        <v>8</v>
      </c>
    </row>
    <row r="10" spans="1:7">
      <c r="B10" s="9" t="s">
        <v>20</v>
      </c>
      <c r="C10" s="10">
        <f>COUNTIFS(Resp3[Vínculo],"tecnico",Resp3[3.03],B10)</f>
        <v>1</v>
      </c>
      <c r="D10" s="10">
        <f>COUNTIFS(Resp3[Vínculo],"docente",Resp3[3.03],B10)</f>
        <v>3</v>
      </c>
      <c r="E10" s="10">
        <f>COUNTIF(Resp3[3.03],B10)</f>
        <v>4</v>
      </c>
      <c r="F10" s="25">
        <f t="shared" si="0"/>
        <v>16</v>
      </c>
      <c r="G10" s="25">
        <f t="shared" si="1"/>
        <v>16</v>
      </c>
    </row>
    <row r="11" spans="1:7">
      <c r="B11" s="9" t="s">
        <v>13</v>
      </c>
      <c r="C11" s="10">
        <f>COUNTIFS(Resp3[Vínculo],"tecnico",Resp3[3.03],B11)</f>
        <v>2</v>
      </c>
      <c r="D11" s="10">
        <f>COUNTIFS(Resp3[Vínculo],"docente",Resp3[3.03],B11)</f>
        <v>2</v>
      </c>
      <c r="E11" s="10">
        <f>COUNTIF(Resp3[3.03],B11)</f>
        <v>4</v>
      </c>
      <c r="F11" s="25">
        <f t="shared" si="0"/>
        <v>16</v>
      </c>
      <c r="G11" s="25">
        <f t="shared" si="1"/>
        <v>16</v>
      </c>
    </row>
    <row r="12" spans="1:7">
      <c r="B12" s="26" t="s">
        <v>16</v>
      </c>
      <c r="C12" s="10">
        <f>COUNTIFS(Resp3[Vínculo],"tecnico",Resp3[3.03],B12)</f>
        <v>1</v>
      </c>
      <c r="D12" s="10">
        <f>COUNTIFS(Resp3[Vínculo],"docente",Resp3[3.03],B12)</f>
        <v>2</v>
      </c>
      <c r="E12" s="10">
        <f>COUNTIF(Resp3[3.03],B12)</f>
        <v>3</v>
      </c>
      <c r="F12" s="102">
        <f t="shared" si="0"/>
        <v>12</v>
      </c>
      <c r="G12" s="25">
        <f t="shared" si="1"/>
        <v>12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6</v>
      </c>
      <c r="E20" s="44">
        <f>ROUND(D20/SUM(D$19:D$22)*100,3)</f>
        <v>54.545000000000002</v>
      </c>
      <c r="F20" s="15"/>
      <c r="G20" s="10"/>
    </row>
    <row r="21" spans="2:7">
      <c r="B21" s="31" t="s">
        <v>20</v>
      </c>
      <c r="C21" s="31" t="s">
        <v>90</v>
      </c>
      <c r="D21" s="15">
        <f>C10</f>
        <v>1</v>
      </c>
      <c r="E21" s="44">
        <f>ROUND(D21/SUM(D$19:D$22)*100,3)</f>
        <v>9.0909999999999993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3</v>
      </c>
      <c r="E22" s="45">
        <f>ROUND(D22/SUM(D$19:D$22)*100,3)</f>
        <v>27.273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6</v>
      </c>
      <c r="E27" s="44">
        <f>ROUND(D27/SUM(D$26:D$29)*100,3)</f>
        <v>42.856999999999999</v>
      </c>
    </row>
    <row r="28" spans="2:7">
      <c r="B28" s="31" t="s">
        <v>20</v>
      </c>
      <c r="C28" s="31" t="s">
        <v>90</v>
      </c>
      <c r="D28" s="15">
        <f>SUM(D10)</f>
        <v>3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COUNTIFS(Resp3[Vínculo],"tecnico",Resp3[3.04],B7)</f>
        <v>3</v>
      </c>
      <c r="D7" s="10">
        <f>COUNTIFS(Resp3[Vínculo],"docente",Resp3[3.04],B7)</f>
        <v>4</v>
      </c>
      <c r="E7" s="10">
        <f>COUNTIF(Resp3[3.04],B7)</f>
        <v>7</v>
      </c>
      <c r="F7" s="25">
        <f t="shared" ref="F7:F13" si="0">ROUND($E7/$E$13*100,2)</f>
        <v>28</v>
      </c>
      <c r="G7" s="25">
        <f>ROUND($E7/SUM($E$7:$E$12)*100,3)</f>
        <v>28</v>
      </c>
    </row>
    <row r="8" spans="1:7">
      <c r="B8" s="9" t="s">
        <v>21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22</v>
      </c>
      <c r="C9" s="10">
        <f>COUNTIFS(Resp3[Vínculo],"tecnico",Resp3[3.04],B9)</f>
        <v>1</v>
      </c>
      <c r="D9" s="10">
        <f>COUNTIFS(Resp3[Vínculo],"docente",Resp3[3.04],B9)</f>
        <v>1</v>
      </c>
      <c r="E9" s="10">
        <f>COUNTIF(Resp3[3.04],B9)</f>
        <v>2</v>
      </c>
      <c r="F9" s="25">
        <f t="shared" si="0"/>
        <v>8</v>
      </c>
      <c r="G9" s="25">
        <f t="shared" si="1"/>
        <v>8</v>
      </c>
    </row>
    <row r="10" spans="1:7">
      <c r="B10" s="9" t="s">
        <v>20</v>
      </c>
      <c r="C10" s="10">
        <f>COUNTIFS(Resp3[Vínculo],"tecnico",Resp3[3.04],B10)</f>
        <v>1</v>
      </c>
      <c r="D10" s="10">
        <f>COUNTIFS(Resp3[Vínculo],"docente",Resp3[3.04],B10)</f>
        <v>5</v>
      </c>
      <c r="E10" s="10">
        <f>COUNTIF(Resp3[3.04],B10)</f>
        <v>6</v>
      </c>
      <c r="F10" s="25">
        <f t="shared" si="0"/>
        <v>24</v>
      </c>
      <c r="G10" s="25">
        <f t="shared" si="1"/>
        <v>24</v>
      </c>
    </row>
    <row r="11" spans="1:7">
      <c r="B11" s="9" t="s">
        <v>13</v>
      </c>
      <c r="C11" s="10">
        <f>COUNTIFS(Resp3[Vínculo],"tecnico",Resp3[3.04],B11)</f>
        <v>5</v>
      </c>
      <c r="D11" s="10">
        <f>COUNTIFS(Resp3[Vínculo],"docente",Resp3[3.04],B11)</f>
        <v>3</v>
      </c>
      <c r="E11" s="10">
        <f>COUNTIF(Resp3[3.04],B11)</f>
        <v>8</v>
      </c>
      <c r="F11" s="25">
        <f t="shared" si="0"/>
        <v>32</v>
      </c>
      <c r="G11" s="25">
        <f t="shared" si="1"/>
        <v>32</v>
      </c>
    </row>
    <row r="12" spans="1:7">
      <c r="B12" s="26" t="s">
        <v>16</v>
      </c>
      <c r="C12" s="10">
        <f>COUNTIFS(Resp3[Vínculo],"tecnico",Resp3[3.04],B12)</f>
        <v>1</v>
      </c>
      <c r="D12" s="10">
        <f>COUNTIFS(Resp3[Vínculo],"docente",Resp3[3.04],B12)</f>
        <v>1</v>
      </c>
      <c r="E12" s="10">
        <f>COUNTIF(Resp3[3.04],B12)</f>
        <v>2</v>
      </c>
      <c r="F12" s="102">
        <f t="shared" si="0"/>
        <v>8</v>
      </c>
      <c r="G12" s="25">
        <f t="shared" si="1"/>
        <v>8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27.273</v>
      </c>
    </row>
    <row r="21" spans="2:7">
      <c r="B21" s="31" t="s">
        <v>20</v>
      </c>
      <c r="C21" s="31" t="s">
        <v>90</v>
      </c>
      <c r="D21" s="15">
        <f>C10</f>
        <v>1</v>
      </c>
      <c r="E21" s="44">
        <f>ROUND(D21/SUM(D$19:D$22)*100,3)</f>
        <v>9.0909999999999993</v>
      </c>
    </row>
    <row r="22" spans="2:7">
      <c r="B22" s="32" t="s">
        <v>96</v>
      </c>
      <c r="C22" s="32" t="s">
        <v>95</v>
      </c>
      <c r="D22" s="33">
        <f>SUM(C11:C12)</f>
        <v>6</v>
      </c>
      <c r="E22" s="45">
        <f>ROUND(D22/SUM(D$19:D$22)*100,3)</f>
        <v>54.545000000000002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28.571000000000002</v>
      </c>
    </row>
    <row r="28" spans="2:7">
      <c r="B28" s="31" t="s">
        <v>20</v>
      </c>
      <c r="C28" s="31" t="s">
        <v>90</v>
      </c>
      <c r="D28" s="15">
        <f>SUM(D10)</f>
        <v>5</v>
      </c>
      <c r="E28" s="44">
        <f>ROUND(D28/SUM(D$26:D$29)*100,3)</f>
        <v>35.713999999999999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COUNTIFS(Resp3[Vínculo],"tecnico",Resp3[3.05],B7)</f>
        <v>2</v>
      </c>
      <c r="D7" s="10">
        <f>COUNTIFS(Resp3[Vínculo],"docente",Resp3[3.05],B7)</f>
        <v>5</v>
      </c>
      <c r="E7" s="10">
        <f>COUNTIF(Resp3[3.05],B7)</f>
        <v>7</v>
      </c>
      <c r="F7" s="25">
        <f t="shared" ref="F7:F13" si="0">ROUND($E7/$E$13*100,2)</f>
        <v>28</v>
      </c>
      <c r="G7" s="25">
        <f>ROUND($E7/SUM($E$7:$E$12)*100,3)</f>
        <v>28</v>
      </c>
    </row>
    <row r="8" spans="1:7">
      <c r="B8" s="9" t="s">
        <v>21</v>
      </c>
      <c r="C8" s="10">
        <f>COUNTIFS(Resp3[Vínculo],"tecnico",Resp3[3.05],B8)</f>
        <v>0</v>
      </c>
      <c r="D8" s="10">
        <f>COUNTIFS(Resp3[Vínculo],"docente",Resp3[3.05],B8)</f>
        <v>1</v>
      </c>
      <c r="E8" s="10">
        <f>COUNTIF(Resp3[3.05],B8)</f>
        <v>1</v>
      </c>
      <c r="F8" s="25">
        <f t="shared" si="0"/>
        <v>4</v>
      </c>
      <c r="G8" s="25">
        <f t="shared" ref="G8:G12" si="1">ROUND($E8/SUM($E$7:$E$12)*100,3)</f>
        <v>4</v>
      </c>
    </row>
    <row r="9" spans="1:7">
      <c r="B9" s="9" t="s">
        <v>22</v>
      </c>
      <c r="C9" s="10">
        <f>COUNTIFS(Resp3[Vínculo],"tecnico",Resp3[3.05],B9)</f>
        <v>2</v>
      </c>
      <c r="D9" s="10">
        <f>COUNTIFS(Resp3[Vínculo],"docente",Resp3[3.05],B9)</f>
        <v>1</v>
      </c>
      <c r="E9" s="10">
        <f>COUNTIF(Resp3[3.05],B9)</f>
        <v>3</v>
      </c>
      <c r="F9" s="25">
        <f t="shared" si="0"/>
        <v>12</v>
      </c>
      <c r="G9" s="25">
        <f t="shared" si="1"/>
        <v>12</v>
      </c>
    </row>
    <row r="10" spans="1:7">
      <c r="B10" s="9" t="s">
        <v>20</v>
      </c>
      <c r="C10" s="10">
        <f>COUNTIFS(Resp3[Vínculo],"tecnico",Resp3[3.05],B10)</f>
        <v>0</v>
      </c>
      <c r="D10" s="10">
        <f>COUNTIFS(Resp3[Vínculo],"docente",Resp3[3.05],B10)</f>
        <v>3</v>
      </c>
      <c r="E10" s="10">
        <f>COUNTIF(Resp3[3.05],B10)</f>
        <v>3</v>
      </c>
      <c r="F10" s="25">
        <f t="shared" si="0"/>
        <v>12</v>
      </c>
      <c r="G10" s="25">
        <f t="shared" si="1"/>
        <v>12</v>
      </c>
    </row>
    <row r="11" spans="1:7">
      <c r="B11" s="9" t="s">
        <v>13</v>
      </c>
      <c r="C11" s="10">
        <f>COUNTIFS(Resp3[Vínculo],"tecnico",Resp3[3.05],B11)</f>
        <v>4</v>
      </c>
      <c r="D11" s="10">
        <f>COUNTIFS(Resp3[Vínculo],"docente",Resp3[3.05],B11)</f>
        <v>3</v>
      </c>
      <c r="E11" s="10">
        <f>COUNTIF(Resp3[3.05],B11)</f>
        <v>7</v>
      </c>
      <c r="F11" s="25">
        <f t="shared" si="0"/>
        <v>28</v>
      </c>
      <c r="G11" s="25">
        <f t="shared" si="1"/>
        <v>28</v>
      </c>
    </row>
    <row r="12" spans="1:7">
      <c r="B12" s="26" t="s">
        <v>16</v>
      </c>
      <c r="C12" s="10">
        <f>COUNTIFS(Resp3[Vínculo],"tecnico",Resp3[3.05],B12)</f>
        <v>3</v>
      </c>
      <c r="D12" s="10">
        <f>COUNTIFS(Resp3[Vínculo],"docente",Resp3[3.05],B12)</f>
        <v>1</v>
      </c>
      <c r="E12" s="10">
        <f>COUNTIF(Resp3[3.05],B12)</f>
        <v>4</v>
      </c>
      <c r="F12" s="102">
        <f t="shared" si="0"/>
        <v>16</v>
      </c>
      <c r="G12" s="25">
        <f t="shared" si="1"/>
        <v>16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18.181999999999999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18.181999999999999</v>
      </c>
    </row>
    <row r="21" spans="2:7">
      <c r="B21" s="31" t="s">
        <v>20</v>
      </c>
      <c r="C21" s="31" t="s">
        <v>90</v>
      </c>
      <c r="D21" s="15">
        <f>C10</f>
        <v>0</v>
      </c>
      <c r="E21" s="44">
        <f>ROUND(D21/SUM(D$19:D$22)*100,3)</f>
        <v>0</v>
      </c>
    </row>
    <row r="22" spans="2:7">
      <c r="B22" s="32" t="s">
        <v>96</v>
      </c>
      <c r="C22" s="32" t="s">
        <v>95</v>
      </c>
      <c r="D22" s="33">
        <f>SUM(C11:C12)</f>
        <v>7</v>
      </c>
      <c r="E22" s="45">
        <f>ROUND(D22/SUM(D$19:D$22)*100,3)</f>
        <v>63.636000000000003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5</v>
      </c>
      <c r="E27" s="44">
        <f>ROUND(D27/SUM(D$26:D$29)*100,3)</f>
        <v>35.713999999999999</v>
      </c>
    </row>
    <row r="28" spans="2:7">
      <c r="B28" s="31" t="s">
        <v>20</v>
      </c>
      <c r="C28" s="31" t="s">
        <v>90</v>
      </c>
      <c r="D28" s="15">
        <f>SUM(D10)</f>
        <v>3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COUNTIFS(Resp3[Vínculo],"tecnico",Resp3[3.06],B7)</f>
        <v>2</v>
      </c>
      <c r="D7" s="10">
        <f>COUNTIFS(Resp3[Vínculo],"docente",Resp3[3.06],B7)</f>
        <v>5</v>
      </c>
      <c r="E7" s="10">
        <f>COUNTIF(Resp3[3.06],B7)</f>
        <v>7</v>
      </c>
      <c r="F7" s="25">
        <f t="shared" ref="F7:F13" si="0">ROUND($E7/$E$13*100,2)</f>
        <v>28</v>
      </c>
      <c r="G7" s="25">
        <f>ROUND($E7/SUM($E$7:$E$12)*100,3)</f>
        <v>28</v>
      </c>
    </row>
    <row r="8" spans="1:7">
      <c r="B8" s="9" t="s">
        <v>21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22</v>
      </c>
      <c r="C9" s="10">
        <f>COUNTIFS(Resp3[Vínculo],"tecnico",Resp3[3.06],B9)</f>
        <v>0</v>
      </c>
      <c r="D9" s="10">
        <f>COUNTIFS(Resp3[Vínculo],"docente",Resp3[3.06],B9)</f>
        <v>1</v>
      </c>
      <c r="E9" s="10">
        <f>COUNTIF(Resp3[3.06],B9)</f>
        <v>1</v>
      </c>
      <c r="F9" s="25">
        <f t="shared" si="0"/>
        <v>4</v>
      </c>
      <c r="G9" s="25">
        <f t="shared" si="1"/>
        <v>4</v>
      </c>
    </row>
    <row r="10" spans="1:7">
      <c r="B10" s="9" t="s">
        <v>20</v>
      </c>
      <c r="C10" s="10">
        <f>COUNTIFS(Resp3[Vínculo],"tecnico",Resp3[3.06],B10)</f>
        <v>2</v>
      </c>
      <c r="D10" s="10">
        <f>COUNTIFS(Resp3[Vínculo],"docente",Resp3[3.06],B10)</f>
        <v>4</v>
      </c>
      <c r="E10" s="10">
        <f>COUNTIF(Resp3[3.06],B10)</f>
        <v>6</v>
      </c>
      <c r="F10" s="25">
        <f t="shared" si="0"/>
        <v>24</v>
      </c>
      <c r="G10" s="25">
        <f t="shared" si="1"/>
        <v>24</v>
      </c>
    </row>
    <row r="11" spans="1:7">
      <c r="B11" s="9" t="s">
        <v>13</v>
      </c>
      <c r="C11" s="10">
        <f>COUNTIFS(Resp3[Vínculo],"tecnico",Resp3[3.06],B11)</f>
        <v>6</v>
      </c>
      <c r="D11" s="10">
        <f>COUNTIFS(Resp3[Vínculo],"docente",Resp3[3.06],B11)</f>
        <v>1</v>
      </c>
      <c r="E11" s="10">
        <f>COUNTIF(Resp3[3.06],B11)</f>
        <v>7</v>
      </c>
      <c r="F11" s="25">
        <f t="shared" si="0"/>
        <v>28</v>
      </c>
      <c r="G11" s="25">
        <f t="shared" si="1"/>
        <v>28</v>
      </c>
    </row>
    <row r="12" spans="1:7">
      <c r="B12" s="26" t="s">
        <v>16</v>
      </c>
      <c r="C12" s="10">
        <f>COUNTIFS(Resp3[Vínculo],"tecnico",Resp3[3.06],B12)</f>
        <v>1</v>
      </c>
      <c r="D12" s="10">
        <f>COUNTIFS(Resp3[Vínculo],"docente",Resp3[3.06],B12)</f>
        <v>3</v>
      </c>
      <c r="E12" s="10">
        <f>COUNTIF(Resp3[3.06],B12)</f>
        <v>4</v>
      </c>
      <c r="F12" s="102">
        <f t="shared" si="0"/>
        <v>16</v>
      </c>
      <c r="G12" s="25">
        <f t="shared" si="1"/>
        <v>16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18.181999999999999</v>
      </c>
    </row>
    <row r="21" spans="2:7">
      <c r="B21" s="31" t="s">
        <v>20</v>
      </c>
      <c r="C21" s="31" t="s">
        <v>90</v>
      </c>
      <c r="D21" s="15">
        <f>C10</f>
        <v>2</v>
      </c>
      <c r="E21" s="44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7</v>
      </c>
      <c r="E22" s="45">
        <f>ROUND(D22/SUM(D$19:D$22)*100,3)</f>
        <v>63.636000000000003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5</v>
      </c>
      <c r="E27" s="44">
        <f>ROUND(D27/SUM(D$26:D$29)*100,3)</f>
        <v>35.713999999999999</v>
      </c>
    </row>
    <row r="28" spans="2:7">
      <c r="B28" s="31" t="s">
        <v>20</v>
      </c>
      <c r="C28" s="31" t="s">
        <v>90</v>
      </c>
      <c r="D28" s="15">
        <f>SUM(D10)</f>
        <v>4</v>
      </c>
      <c r="E28" s="44">
        <f>ROUND(D28/SUM(D$26:D$29)*100,3)</f>
        <v>28.571000000000002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COUNTIFS(Resp3[Vínculo],"tecnico",Resp3[3.07],B7)</f>
        <v>2</v>
      </c>
      <c r="D7" s="10">
        <f>COUNTIFS(Resp3[Vínculo],"docente",Resp3[3.07],B7)</f>
        <v>6</v>
      </c>
      <c r="E7" s="10">
        <f>COUNTIF(Resp3[3.07],B7)</f>
        <v>8</v>
      </c>
      <c r="F7" s="25">
        <f t="shared" ref="F7:F13" si="0">ROUND($E7/$E$13*100,2)</f>
        <v>32</v>
      </c>
      <c r="G7" s="25">
        <f>ROUND($E7/SUM($E$7:$E$12)*100,3)</f>
        <v>32</v>
      </c>
    </row>
    <row r="8" spans="1:7">
      <c r="B8" s="9" t="s">
        <v>21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22</v>
      </c>
      <c r="C9" s="10">
        <f>COUNTIFS(Resp3[Vínculo],"tecnico",Resp3[3.07],B9)</f>
        <v>1</v>
      </c>
      <c r="D9" s="10">
        <f>COUNTIFS(Resp3[Vínculo],"docente",Resp3[3.07],B9)</f>
        <v>1</v>
      </c>
      <c r="E9" s="10">
        <f>COUNTIF(Resp3[3.07],B9)</f>
        <v>2</v>
      </c>
      <c r="F9" s="25">
        <f t="shared" si="0"/>
        <v>8</v>
      </c>
      <c r="G9" s="25">
        <f t="shared" si="1"/>
        <v>8</v>
      </c>
    </row>
    <row r="10" spans="1:7">
      <c r="B10" s="9" t="s">
        <v>20</v>
      </c>
      <c r="C10" s="10">
        <f>COUNTIFS(Resp3[Vínculo],"tecnico",Resp3[3.07],B10)</f>
        <v>1</v>
      </c>
      <c r="D10" s="10">
        <f>COUNTIFS(Resp3[Vínculo],"docente",Resp3[3.07],B10)</f>
        <v>3</v>
      </c>
      <c r="E10" s="10">
        <f>COUNTIF(Resp3[3.07],B10)</f>
        <v>4</v>
      </c>
      <c r="F10" s="25">
        <f t="shared" si="0"/>
        <v>16</v>
      </c>
      <c r="G10" s="25">
        <f t="shared" si="1"/>
        <v>16</v>
      </c>
    </row>
    <row r="11" spans="1:7">
      <c r="B11" s="9" t="s">
        <v>13</v>
      </c>
      <c r="C11" s="10">
        <f>COUNTIFS(Resp3[Vínculo],"tecnico",Resp3[3.07],B11)</f>
        <v>3</v>
      </c>
      <c r="D11" s="10">
        <f>COUNTIFS(Resp3[Vínculo],"docente",Resp3[3.07],B11)</f>
        <v>2</v>
      </c>
      <c r="E11" s="10">
        <f>COUNTIF(Resp3[3.07],B11)</f>
        <v>5</v>
      </c>
      <c r="F11" s="25">
        <f t="shared" si="0"/>
        <v>20</v>
      </c>
      <c r="G11" s="25">
        <f t="shared" si="1"/>
        <v>20</v>
      </c>
    </row>
    <row r="12" spans="1:7">
      <c r="B12" s="26" t="s">
        <v>16</v>
      </c>
      <c r="C12" s="10">
        <f>COUNTIFS(Resp3[Vínculo],"tecnico",Resp3[3.07],B12)</f>
        <v>4</v>
      </c>
      <c r="D12" s="10">
        <f>COUNTIFS(Resp3[Vínculo],"docente",Resp3[3.07],B12)</f>
        <v>2</v>
      </c>
      <c r="E12" s="10">
        <f>COUNTIF(Resp3[3.07],B12)</f>
        <v>6</v>
      </c>
      <c r="F12" s="102">
        <f t="shared" si="0"/>
        <v>24</v>
      </c>
      <c r="G12" s="25">
        <f t="shared" si="1"/>
        <v>24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18.181999999999999</v>
      </c>
    </row>
    <row r="21" spans="2:7">
      <c r="B21" s="31" t="s">
        <v>20</v>
      </c>
      <c r="C21" s="31" t="s">
        <v>90</v>
      </c>
      <c r="D21" s="15">
        <f>C10</f>
        <v>1</v>
      </c>
      <c r="E21" s="44">
        <f>ROUND(D21/SUM(D$19:D$22)*100,3)</f>
        <v>9.0909999999999993</v>
      </c>
    </row>
    <row r="22" spans="2:7">
      <c r="B22" s="32" t="s">
        <v>96</v>
      </c>
      <c r="C22" s="32" t="s">
        <v>95</v>
      </c>
      <c r="D22" s="33">
        <f>SUM(C11:C12)</f>
        <v>7</v>
      </c>
      <c r="E22" s="45">
        <f>ROUND(D22/SUM(D$19:D$22)*100,3)</f>
        <v>63.636000000000003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6</v>
      </c>
      <c r="E27" s="44">
        <f>ROUND(D27/SUM(D$26:D$29)*100,3)</f>
        <v>42.856999999999999</v>
      </c>
    </row>
    <row r="28" spans="2:7">
      <c r="B28" s="31" t="s">
        <v>20</v>
      </c>
      <c r="C28" s="31" t="s">
        <v>90</v>
      </c>
      <c r="D28" s="15">
        <f>SUM(D10)</f>
        <v>3</v>
      </c>
      <c r="E28" s="44">
        <f>ROUND(D28/SUM(D$26:D$29)*100,3)</f>
        <v>21.428999999999998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zoomScale="90" zoomScaleNormal="90" workbookViewId="0">
      <selection activeCell="D28" sqref="D28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8</v>
      </c>
      <c r="B2" s="79" t="s">
        <v>9</v>
      </c>
      <c r="C2" s="79" t="s">
        <v>13</v>
      </c>
      <c r="D2" s="79" t="s">
        <v>16</v>
      </c>
      <c r="E2" s="79" t="s">
        <v>23</v>
      </c>
      <c r="F2" s="79" t="s">
        <v>13</v>
      </c>
      <c r="G2" s="79" t="s">
        <v>13</v>
      </c>
      <c r="H2" s="79" t="s">
        <v>13</v>
      </c>
      <c r="I2" s="79" t="s">
        <v>16</v>
      </c>
      <c r="J2" s="79" t="s">
        <v>13</v>
      </c>
      <c r="K2" s="79" t="s">
        <v>13</v>
      </c>
      <c r="L2" s="79" t="s">
        <v>13</v>
      </c>
    </row>
    <row r="3" spans="1:12">
      <c r="A3" s="79" t="s">
        <v>8</v>
      </c>
      <c r="B3" s="79" t="s">
        <v>9</v>
      </c>
      <c r="C3" s="79" t="s">
        <v>13</v>
      </c>
      <c r="D3" s="79" t="s">
        <v>16</v>
      </c>
      <c r="E3" s="79" t="s">
        <v>13</v>
      </c>
      <c r="F3" s="79" t="s">
        <v>13</v>
      </c>
      <c r="G3" s="79" t="s">
        <v>13</v>
      </c>
      <c r="H3" s="79" t="s">
        <v>13</v>
      </c>
      <c r="I3" s="79" t="s">
        <v>13</v>
      </c>
      <c r="J3" s="79" t="s">
        <v>13</v>
      </c>
      <c r="K3" s="79" t="s">
        <v>13</v>
      </c>
      <c r="L3" s="79" t="s">
        <v>13</v>
      </c>
    </row>
    <row r="4" spans="1:12">
      <c r="A4" s="79" t="s">
        <v>8</v>
      </c>
      <c r="B4" s="79" t="s">
        <v>9</v>
      </c>
      <c r="C4" s="79" t="s">
        <v>13</v>
      </c>
      <c r="D4" s="79" t="s">
        <v>13</v>
      </c>
      <c r="E4" s="79" t="s">
        <v>23</v>
      </c>
      <c r="F4" s="79" t="s">
        <v>13</v>
      </c>
      <c r="G4" s="79" t="s">
        <v>16</v>
      </c>
      <c r="H4" s="79" t="s">
        <v>13</v>
      </c>
      <c r="I4" s="79" t="s">
        <v>16</v>
      </c>
      <c r="J4" s="79" t="s">
        <v>13</v>
      </c>
      <c r="K4" s="79" t="s">
        <v>16</v>
      </c>
      <c r="L4" s="79" t="s">
        <v>13</v>
      </c>
    </row>
    <row r="5" spans="1:12">
      <c r="A5" s="79" t="s">
        <v>14</v>
      </c>
      <c r="B5" s="79" t="s">
        <v>9</v>
      </c>
      <c r="C5" s="79" t="s">
        <v>13</v>
      </c>
      <c r="D5" s="79" t="s">
        <v>13</v>
      </c>
      <c r="E5" s="79" t="s">
        <v>13</v>
      </c>
      <c r="F5" s="79" t="s">
        <v>13</v>
      </c>
      <c r="G5" s="79" t="s">
        <v>13</v>
      </c>
      <c r="H5" s="79" t="s">
        <v>13</v>
      </c>
      <c r="I5" s="79" t="s">
        <v>13</v>
      </c>
      <c r="J5" s="79" t="s">
        <v>20</v>
      </c>
      <c r="K5" s="79" t="s">
        <v>13</v>
      </c>
      <c r="L5" s="79" t="s">
        <v>13</v>
      </c>
    </row>
    <row r="6" spans="1:12">
      <c r="A6" s="79" t="s">
        <v>8</v>
      </c>
      <c r="B6" s="79" t="s">
        <v>9</v>
      </c>
      <c r="C6" s="79" t="s">
        <v>13</v>
      </c>
      <c r="D6" s="79" t="s">
        <v>13</v>
      </c>
      <c r="E6" s="79" t="s">
        <v>23</v>
      </c>
      <c r="F6" s="79" t="s">
        <v>23</v>
      </c>
      <c r="G6" s="79" t="s">
        <v>13</v>
      </c>
      <c r="H6" s="79" t="s">
        <v>13</v>
      </c>
      <c r="I6" s="79" t="s">
        <v>13</v>
      </c>
      <c r="J6" s="79" t="s">
        <v>13</v>
      </c>
      <c r="K6" s="79" t="s">
        <v>13</v>
      </c>
      <c r="L6" s="79" t="s">
        <v>13</v>
      </c>
    </row>
    <row r="7" spans="1:12">
      <c r="A7" s="79" t="s">
        <v>8</v>
      </c>
      <c r="B7" s="79" t="s">
        <v>9</v>
      </c>
      <c r="C7" s="79" t="s">
        <v>13</v>
      </c>
      <c r="D7" s="79" t="s">
        <v>13</v>
      </c>
      <c r="E7" s="79" t="s">
        <v>13</v>
      </c>
      <c r="F7" s="79" t="s">
        <v>13</v>
      </c>
      <c r="G7" s="79" t="s">
        <v>13</v>
      </c>
      <c r="H7" s="79" t="s">
        <v>13</v>
      </c>
      <c r="I7" s="79" t="s">
        <v>13</v>
      </c>
      <c r="J7" s="79" t="s">
        <v>13</v>
      </c>
      <c r="K7" s="79" t="s">
        <v>13</v>
      </c>
      <c r="L7" s="79" t="s">
        <v>13</v>
      </c>
    </row>
    <row r="8" spans="1:12">
      <c r="A8" s="79" t="s">
        <v>14</v>
      </c>
      <c r="B8" s="79" t="s">
        <v>9</v>
      </c>
      <c r="C8" s="79" t="s">
        <v>13</v>
      </c>
      <c r="D8" s="79" t="s">
        <v>13</v>
      </c>
      <c r="E8" s="79" t="s">
        <v>13</v>
      </c>
      <c r="F8" s="79" t="s">
        <v>13</v>
      </c>
      <c r="G8" s="79" t="s">
        <v>20</v>
      </c>
      <c r="H8" s="79" t="s">
        <v>20</v>
      </c>
      <c r="I8" s="79" t="s">
        <v>20</v>
      </c>
      <c r="J8" s="79" t="s">
        <v>20</v>
      </c>
      <c r="K8" s="79" t="s">
        <v>20</v>
      </c>
      <c r="L8" s="79" t="s">
        <v>20</v>
      </c>
    </row>
    <row r="9" spans="1:12">
      <c r="A9" s="79" t="s">
        <v>14</v>
      </c>
      <c r="B9" s="79" t="s">
        <v>9</v>
      </c>
      <c r="C9" s="79" t="s">
        <v>13</v>
      </c>
      <c r="D9" s="79" t="s">
        <v>13</v>
      </c>
      <c r="E9" s="79" t="s">
        <v>16</v>
      </c>
      <c r="F9" s="79" t="s">
        <v>13</v>
      </c>
      <c r="G9" s="79" t="s">
        <v>13</v>
      </c>
      <c r="H9" s="79" t="s">
        <v>16</v>
      </c>
      <c r="I9" s="79" t="s">
        <v>16</v>
      </c>
      <c r="J9" s="79" t="s">
        <v>16</v>
      </c>
      <c r="K9" s="79" t="s">
        <v>16</v>
      </c>
      <c r="L9" s="79" t="s">
        <v>16</v>
      </c>
    </row>
    <row r="10" spans="1:12">
      <c r="A10" s="79" t="s">
        <v>14</v>
      </c>
      <c r="B10" s="79" t="s">
        <v>9</v>
      </c>
      <c r="C10" s="79" t="s">
        <v>16</v>
      </c>
      <c r="D10" s="79" t="s">
        <v>16</v>
      </c>
      <c r="E10" s="79" t="s">
        <v>16</v>
      </c>
      <c r="F10" s="79" t="s">
        <v>16</v>
      </c>
      <c r="G10" s="79" t="s">
        <v>16</v>
      </c>
      <c r="H10" s="79" t="s">
        <v>16</v>
      </c>
      <c r="I10" s="79" t="s">
        <v>16</v>
      </c>
      <c r="J10" s="79" t="s">
        <v>16</v>
      </c>
      <c r="K10" s="79" t="s">
        <v>16</v>
      </c>
      <c r="L10" s="79" t="s">
        <v>16</v>
      </c>
    </row>
    <row r="11" spans="1:12">
      <c r="A11" s="79" t="s">
        <v>8</v>
      </c>
      <c r="B11" s="79" t="s">
        <v>9</v>
      </c>
      <c r="C11" s="79" t="s">
        <v>16</v>
      </c>
      <c r="D11" s="79" t="s">
        <v>16</v>
      </c>
      <c r="E11" s="79" t="s">
        <v>16</v>
      </c>
      <c r="F11" s="79" t="s">
        <v>16</v>
      </c>
      <c r="G11" s="79" t="s">
        <v>16</v>
      </c>
      <c r="H11" s="79" t="s">
        <v>16</v>
      </c>
      <c r="I11" s="79" t="s">
        <v>16</v>
      </c>
      <c r="J11" s="79" t="s">
        <v>16</v>
      </c>
      <c r="K11" s="79" t="s">
        <v>16</v>
      </c>
      <c r="L11" s="79" t="s">
        <v>16</v>
      </c>
    </row>
    <row r="12" spans="1:12">
      <c r="A12" s="79" t="s">
        <v>14</v>
      </c>
      <c r="B12" s="79" t="s">
        <v>9</v>
      </c>
      <c r="C12" s="79" t="s">
        <v>23</v>
      </c>
      <c r="D12" s="79" t="s">
        <v>23</v>
      </c>
      <c r="E12" s="79" t="s">
        <v>20</v>
      </c>
      <c r="F12" s="79" t="s">
        <v>20</v>
      </c>
      <c r="G12" s="79" t="s">
        <v>20</v>
      </c>
      <c r="H12" s="79" t="s">
        <v>20</v>
      </c>
      <c r="I12" s="79" t="s">
        <v>13</v>
      </c>
      <c r="J12" s="79" t="s">
        <v>20</v>
      </c>
      <c r="K12" s="79" t="s">
        <v>13</v>
      </c>
      <c r="L12" s="79" t="s">
        <v>20</v>
      </c>
    </row>
    <row r="13" spans="1:12">
      <c r="A13" s="79" t="s">
        <v>14</v>
      </c>
      <c r="B13" s="79" t="s">
        <v>9</v>
      </c>
      <c r="C13" s="79" t="s">
        <v>23</v>
      </c>
      <c r="D13" s="79" t="s">
        <v>23</v>
      </c>
      <c r="E13" s="79" t="s">
        <v>23</v>
      </c>
      <c r="F13" s="79" t="s">
        <v>23</v>
      </c>
      <c r="G13" s="79" t="s">
        <v>23</v>
      </c>
      <c r="H13" s="79" t="s">
        <v>23</v>
      </c>
      <c r="I13" s="79" t="s">
        <v>23</v>
      </c>
      <c r="J13" s="79" t="s">
        <v>16</v>
      </c>
      <c r="K13" s="79" t="s">
        <v>20</v>
      </c>
      <c r="L13" s="79" t="s">
        <v>20</v>
      </c>
    </row>
    <row r="14" spans="1:12">
      <c r="A14" s="79" t="s">
        <v>14</v>
      </c>
      <c r="B14" s="79" t="s">
        <v>9</v>
      </c>
      <c r="C14" s="79" t="s">
        <v>23</v>
      </c>
      <c r="D14" s="79" t="s">
        <v>23</v>
      </c>
      <c r="E14" s="79" t="s">
        <v>23</v>
      </c>
      <c r="F14" s="79" t="s">
        <v>23</v>
      </c>
      <c r="G14" s="79" t="s">
        <v>23</v>
      </c>
      <c r="H14" s="79" t="s">
        <v>23</v>
      </c>
      <c r="I14" s="79" t="s">
        <v>23</v>
      </c>
      <c r="J14" s="79" t="s">
        <v>16</v>
      </c>
      <c r="K14" s="79" t="s">
        <v>13</v>
      </c>
      <c r="L14" s="79" t="s">
        <v>23</v>
      </c>
    </row>
    <row r="15" spans="1:12">
      <c r="A15" s="79" t="s">
        <v>14</v>
      </c>
      <c r="B15" s="79" t="s">
        <v>9</v>
      </c>
      <c r="C15" s="79" t="s">
        <v>23</v>
      </c>
      <c r="D15" s="79" t="s">
        <v>23</v>
      </c>
      <c r="E15" s="79" t="s">
        <v>23</v>
      </c>
      <c r="F15" s="79" t="s">
        <v>23</v>
      </c>
      <c r="G15" s="79" t="s">
        <v>23</v>
      </c>
      <c r="H15" s="79" t="s">
        <v>23</v>
      </c>
      <c r="I15" s="79" t="s">
        <v>23</v>
      </c>
      <c r="J15" s="79" t="s">
        <v>13</v>
      </c>
      <c r="K15" s="79" t="s">
        <v>13</v>
      </c>
      <c r="L15" s="79" t="s">
        <v>13</v>
      </c>
    </row>
    <row r="16" spans="1:12">
      <c r="A16" s="79" t="s">
        <v>8</v>
      </c>
      <c r="B16" s="79" t="s">
        <v>9</v>
      </c>
      <c r="C16" s="79" t="s">
        <v>23</v>
      </c>
      <c r="D16" s="79" t="s">
        <v>23</v>
      </c>
      <c r="E16" s="79" t="s">
        <v>23</v>
      </c>
      <c r="F16" s="79" t="s">
        <v>23</v>
      </c>
      <c r="G16" s="79" t="s">
        <v>23</v>
      </c>
      <c r="H16" s="79" t="s">
        <v>23</v>
      </c>
      <c r="I16" s="79" t="s">
        <v>23</v>
      </c>
      <c r="J16" s="79" t="s">
        <v>13</v>
      </c>
      <c r="K16" s="79" t="s">
        <v>20</v>
      </c>
      <c r="L16" s="79" t="s">
        <v>13</v>
      </c>
    </row>
    <row r="17" spans="1:12">
      <c r="A17" s="79" t="s">
        <v>14</v>
      </c>
      <c r="B17" s="79" t="s">
        <v>9</v>
      </c>
      <c r="C17" s="79" t="s">
        <v>23</v>
      </c>
      <c r="D17" s="79" t="s">
        <v>23</v>
      </c>
      <c r="E17" s="79" t="s">
        <v>23</v>
      </c>
      <c r="F17" s="79" t="s">
        <v>20</v>
      </c>
      <c r="G17" s="79" t="s">
        <v>23</v>
      </c>
      <c r="H17" s="79" t="s">
        <v>23</v>
      </c>
      <c r="I17" s="79" t="s">
        <v>23</v>
      </c>
      <c r="J17" s="79" t="s">
        <v>13</v>
      </c>
      <c r="K17" s="79" t="s">
        <v>20</v>
      </c>
      <c r="L17" s="79" t="s">
        <v>20</v>
      </c>
    </row>
    <row r="18" spans="1:12">
      <c r="A18" s="79" t="s">
        <v>14</v>
      </c>
      <c r="B18" s="79" t="s">
        <v>9</v>
      </c>
      <c r="C18" s="79" t="s">
        <v>23</v>
      </c>
      <c r="D18" s="79" t="s">
        <v>23</v>
      </c>
      <c r="E18" s="79" t="s">
        <v>23</v>
      </c>
      <c r="F18" s="79" t="s">
        <v>23</v>
      </c>
      <c r="G18" s="79" t="s">
        <v>23</v>
      </c>
      <c r="H18" s="79" t="s">
        <v>23</v>
      </c>
      <c r="I18" s="79" t="s">
        <v>23</v>
      </c>
      <c r="J18" s="79" t="s">
        <v>20</v>
      </c>
      <c r="K18" s="79" t="s">
        <v>20</v>
      </c>
      <c r="L18" s="79" t="s">
        <v>22</v>
      </c>
    </row>
    <row r="19" spans="1:12">
      <c r="A19" s="79" t="s">
        <v>14</v>
      </c>
      <c r="B19" s="79" t="s">
        <v>9</v>
      </c>
      <c r="C19" s="79" t="s">
        <v>23</v>
      </c>
      <c r="D19" s="79" t="s">
        <v>23</v>
      </c>
      <c r="E19" s="79" t="s">
        <v>23</v>
      </c>
      <c r="F19" s="79" t="s">
        <v>20</v>
      </c>
      <c r="G19" s="79" t="s">
        <v>21</v>
      </c>
      <c r="H19" s="79" t="s">
        <v>16</v>
      </c>
      <c r="I19" s="79" t="s">
        <v>20</v>
      </c>
      <c r="J19" s="79" t="s">
        <v>13</v>
      </c>
      <c r="K19" s="79" t="s">
        <v>23</v>
      </c>
      <c r="L19" s="79" t="s">
        <v>13</v>
      </c>
    </row>
    <row r="20" spans="1:12">
      <c r="A20" s="79" t="s">
        <v>8</v>
      </c>
      <c r="B20" s="79" t="s">
        <v>9</v>
      </c>
      <c r="C20" s="79" t="s">
        <v>23</v>
      </c>
      <c r="D20" s="79" t="s">
        <v>23</v>
      </c>
      <c r="E20" s="79" t="s">
        <v>23</v>
      </c>
      <c r="F20" s="79" t="s">
        <v>23</v>
      </c>
      <c r="G20" s="79" t="s">
        <v>23</v>
      </c>
      <c r="H20" s="79" t="s">
        <v>23</v>
      </c>
      <c r="I20" s="79" t="s">
        <v>23</v>
      </c>
      <c r="J20" s="79" t="s">
        <v>13</v>
      </c>
      <c r="K20" s="79" t="s">
        <v>13</v>
      </c>
      <c r="L20" s="79" t="s">
        <v>13</v>
      </c>
    </row>
    <row r="21" spans="1:12">
      <c r="A21" s="79" t="s">
        <v>14</v>
      </c>
      <c r="B21" s="79" t="s">
        <v>9</v>
      </c>
      <c r="C21" s="79" t="s">
        <v>23</v>
      </c>
      <c r="D21" s="79" t="s">
        <v>23</v>
      </c>
      <c r="E21" s="79" t="s">
        <v>20</v>
      </c>
      <c r="F21" s="79" t="s">
        <v>20</v>
      </c>
      <c r="G21" s="79" t="s">
        <v>20</v>
      </c>
      <c r="H21" s="79" t="s">
        <v>20</v>
      </c>
      <c r="I21" s="79" t="s">
        <v>23</v>
      </c>
      <c r="J21" s="79" t="s">
        <v>13</v>
      </c>
      <c r="K21" s="79" t="s">
        <v>13</v>
      </c>
      <c r="L21" s="79" t="s">
        <v>23</v>
      </c>
    </row>
    <row r="22" spans="1:12">
      <c r="A22" s="79" t="s">
        <v>14</v>
      </c>
      <c r="B22" s="79" t="s">
        <v>9</v>
      </c>
      <c r="C22" s="79" t="s">
        <v>21</v>
      </c>
      <c r="D22" s="79" t="s">
        <v>21</v>
      </c>
      <c r="E22" s="79" t="s">
        <v>22</v>
      </c>
      <c r="F22" s="79" t="s">
        <v>22</v>
      </c>
      <c r="G22" s="79" t="s">
        <v>22</v>
      </c>
      <c r="H22" s="79" t="s">
        <v>22</v>
      </c>
      <c r="I22" s="79" t="s">
        <v>22</v>
      </c>
      <c r="J22" s="79" t="s">
        <v>21</v>
      </c>
      <c r="K22" s="79" t="s">
        <v>22</v>
      </c>
      <c r="L22" s="79" t="s">
        <v>21</v>
      </c>
    </row>
    <row r="23" spans="1:12">
      <c r="A23" s="79" t="s">
        <v>8</v>
      </c>
      <c r="B23" s="79" t="s">
        <v>9</v>
      </c>
      <c r="C23" s="79" t="s">
        <v>20</v>
      </c>
      <c r="D23" s="79" t="s">
        <v>20</v>
      </c>
      <c r="E23" s="79" t="s">
        <v>20</v>
      </c>
      <c r="F23" s="79" t="s">
        <v>20</v>
      </c>
      <c r="G23" s="79" t="s">
        <v>22</v>
      </c>
      <c r="H23" s="79" t="s">
        <v>20</v>
      </c>
      <c r="I23" s="79" t="s">
        <v>22</v>
      </c>
      <c r="J23" s="79" t="s">
        <v>20</v>
      </c>
      <c r="K23" s="79" t="s">
        <v>20</v>
      </c>
      <c r="L23" s="79" t="s">
        <v>20</v>
      </c>
    </row>
    <row r="24" spans="1:12">
      <c r="A24" s="79" t="s">
        <v>14</v>
      </c>
      <c r="B24" s="79" t="s">
        <v>9</v>
      </c>
      <c r="C24" s="79" t="s">
        <v>20</v>
      </c>
      <c r="D24" s="79" t="s">
        <v>20</v>
      </c>
      <c r="E24" s="79" t="s">
        <v>20</v>
      </c>
      <c r="F24" s="79" t="s">
        <v>20</v>
      </c>
      <c r="G24" s="79" t="s">
        <v>13</v>
      </c>
      <c r="H24" s="79" t="s">
        <v>20</v>
      </c>
      <c r="I24" s="79" t="s">
        <v>20</v>
      </c>
      <c r="J24" s="79" t="s">
        <v>20</v>
      </c>
      <c r="K24" s="79" t="s">
        <v>20</v>
      </c>
      <c r="L24" s="79" t="s">
        <v>20</v>
      </c>
    </row>
    <row r="25" spans="1:12">
      <c r="A25" s="79" t="s">
        <v>8</v>
      </c>
      <c r="B25" s="79" t="s">
        <v>9</v>
      </c>
      <c r="C25" s="79" t="s">
        <v>22</v>
      </c>
      <c r="D25" s="79" t="s">
        <v>20</v>
      </c>
      <c r="E25" s="79" t="s">
        <v>23</v>
      </c>
      <c r="F25" s="79" t="s">
        <v>13</v>
      </c>
      <c r="G25" s="79" t="s">
        <v>16</v>
      </c>
      <c r="H25" s="79" t="s">
        <v>13</v>
      </c>
      <c r="I25" s="79" t="s">
        <v>16</v>
      </c>
      <c r="J25" s="79" t="s">
        <v>23</v>
      </c>
      <c r="K25" s="79" t="s">
        <v>20</v>
      </c>
      <c r="L25" s="79" t="s">
        <v>23</v>
      </c>
    </row>
    <row r="26" spans="1:12">
      <c r="A26" s="79" t="s">
        <v>8</v>
      </c>
      <c r="B26" s="79" t="s">
        <v>9</v>
      </c>
      <c r="C26" s="79" t="s">
        <v>22</v>
      </c>
      <c r="D26" s="79" t="s">
        <v>22</v>
      </c>
      <c r="E26" s="79" t="s">
        <v>22</v>
      </c>
      <c r="F26" s="79" t="s">
        <v>22</v>
      </c>
      <c r="G26" s="79" t="s">
        <v>22</v>
      </c>
      <c r="H26" s="79" t="s">
        <v>20</v>
      </c>
      <c r="I26" s="79" t="s">
        <v>20</v>
      </c>
      <c r="J26" s="79" t="s">
        <v>20</v>
      </c>
      <c r="K26" s="79" t="s">
        <v>20</v>
      </c>
      <c r="L26" s="79" t="s">
        <v>21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COUNTIFS(Resp3[Vínculo],"tecnico",Resp3[3.08],B7)</f>
        <v>1</v>
      </c>
      <c r="D7" s="10">
        <f>COUNTIFS(Resp3[Vínculo],"docente",Resp3[3.08],B7)</f>
        <v>0</v>
      </c>
      <c r="E7" s="10">
        <f>COUNTIF(Resp3[3.08],B7)</f>
        <v>1</v>
      </c>
      <c r="F7" s="25">
        <f t="shared" ref="F7:F13" si="0">ROUND($E7/$E$13*100,2)</f>
        <v>4</v>
      </c>
      <c r="G7" s="25">
        <f>ROUND($E7/SUM($E$7:$E$12)*100,3)</f>
        <v>4</v>
      </c>
    </row>
    <row r="8" spans="1:7">
      <c r="B8" s="9" t="s">
        <v>21</v>
      </c>
      <c r="C8" s="10">
        <f>COUNTIFS(Resp3[Vínculo],"tecnico",Resp3[3.08],B8)</f>
        <v>0</v>
      </c>
      <c r="D8" s="10">
        <f>COUNTIFS(Resp3[Vínculo],"docente",Resp3[3.08],B8)</f>
        <v>1</v>
      </c>
      <c r="E8" s="10">
        <f>COUNTIF(Resp3[3.08],B8)</f>
        <v>1</v>
      </c>
      <c r="F8" s="25">
        <f t="shared" si="0"/>
        <v>4</v>
      </c>
      <c r="G8" s="25">
        <f t="shared" ref="G8:G12" si="1">ROUND($E8/SUM($E$7:$E$12)*100,3)</f>
        <v>4</v>
      </c>
    </row>
    <row r="9" spans="1:7">
      <c r="B9" s="9" t="s">
        <v>22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20</v>
      </c>
      <c r="C10" s="10">
        <f>COUNTIFS(Resp3[Vínculo],"tecnico",Resp3[3.08],B10)</f>
        <v>2</v>
      </c>
      <c r="D10" s="10">
        <f>COUNTIFS(Resp3[Vínculo],"docente",Resp3[3.08],B10)</f>
        <v>5</v>
      </c>
      <c r="E10" s="10">
        <f>COUNTIF(Resp3[3.08],B10)</f>
        <v>7</v>
      </c>
      <c r="F10" s="25">
        <f t="shared" si="0"/>
        <v>28</v>
      </c>
      <c r="G10" s="25">
        <f t="shared" si="1"/>
        <v>28</v>
      </c>
    </row>
    <row r="11" spans="1:7">
      <c r="B11" s="9" t="s">
        <v>13</v>
      </c>
      <c r="C11" s="10">
        <f>COUNTIFS(Resp3[Vínculo],"tecnico",Resp3[3.08],B11)</f>
        <v>7</v>
      </c>
      <c r="D11" s="10">
        <f>COUNTIFS(Resp3[Vínculo],"docente",Resp3[3.08],B11)</f>
        <v>4</v>
      </c>
      <c r="E11" s="10">
        <f>COUNTIF(Resp3[3.08],B11)</f>
        <v>11</v>
      </c>
      <c r="F11" s="25">
        <f t="shared" si="0"/>
        <v>44</v>
      </c>
      <c r="G11" s="25">
        <f t="shared" si="1"/>
        <v>44</v>
      </c>
    </row>
    <row r="12" spans="1:7">
      <c r="B12" s="26" t="s">
        <v>16</v>
      </c>
      <c r="C12" s="10">
        <f>COUNTIFS(Resp3[Vínculo],"tecnico",Resp3[3.08],B12)</f>
        <v>1</v>
      </c>
      <c r="D12" s="10">
        <f>COUNTIFS(Resp3[Vínculo],"docente",Resp3[3.08],B12)</f>
        <v>4</v>
      </c>
      <c r="E12" s="10">
        <f>COUNTIF(Resp3[3.08],B12)</f>
        <v>5</v>
      </c>
      <c r="F12" s="102">
        <f t="shared" si="0"/>
        <v>20</v>
      </c>
      <c r="G12" s="25">
        <f t="shared" si="1"/>
        <v>20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9.0909999999999993</v>
      </c>
    </row>
    <row r="21" spans="2:7">
      <c r="B21" s="31" t="s">
        <v>20</v>
      </c>
      <c r="C21" s="31" t="s">
        <v>90</v>
      </c>
      <c r="D21" s="15">
        <f>C10</f>
        <v>2</v>
      </c>
      <c r="E21" s="44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8</v>
      </c>
      <c r="E22" s="45">
        <f>ROUND(D22/SUM(D$19:D$22)*100,3)</f>
        <v>72.727000000000004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0</v>
      </c>
      <c r="E27" s="44">
        <f>ROUND(D27/SUM(D$26:D$29)*100,3)</f>
        <v>0</v>
      </c>
    </row>
    <row r="28" spans="2:7">
      <c r="B28" s="31" t="s">
        <v>20</v>
      </c>
      <c r="C28" s="31" t="s">
        <v>90</v>
      </c>
      <c r="D28" s="15">
        <f>SUM(D10)</f>
        <v>5</v>
      </c>
      <c r="E28" s="44">
        <f>ROUND(D28/SUM(D$26:D$29)*100,3)</f>
        <v>35.713999999999999</v>
      </c>
    </row>
    <row r="29" spans="2:7">
      <c r="B29" s="32" t="s">
        <v>96</v>
      </c>
      <c r="C29" s="32" t="s">
        <v>95</v>
      </c>
      <c r="D29" s="33">
        <f>SUM(D11:D12)</f>
        <v>8</v>
      </c>
      <c r="E29" s="45">
        <f>ROUND(D29/SUM(D$26:D$29)*100,3)</f>
        <v>57.143000000000001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COUNTIFS(Resp3[Vínculo],"tecnico",Resp3[3.09],B7)</f>
        <v>0</v>
      </c>
      <c r="D7" s="10">
        <f>COUNTIFS(Resp3[Vínculo],"docente",Resp3[3.09],B7)</f>
        <v>1</v>
      </c>
      <c r="E7" s="10">
        <f>COUNTIF(Resp3[3.09],B7)</f>
        <v>1</v>
      </c>
      <c r="F7" s="25">
        <f t="shared" ref="F7:F13" si="0">ROUND($E7/$E$13*100,2)</f>
        <v>4</v>
      </c>
      <c r="G7" s="25">
        <f>ROUND($E7/SUM($E$7:$E$12)*100,3)</f>
        <v>4</v>
      </c>
    </row>
    <row r="8" spans="1:7">
      <c r="B8" s="9" t="s">
        <v>21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22</v>
      </c>
      <c r="C9" s="10">
        <f>COUNTIFS(Resp3[Vínculo],"tecnico",Resp3[3.09],B9)</f>
        <v>0</v>
      </c>
      <c r="D9" s="10">
        <f>COUNTIFS(Resp3[Vínculo],"docente",Resp3[3.09],B9)</f>
        <v>1</v>
      </c>
      <c r="E9" s="10">
        <f>COUNTIF(Resp3[3.09],B9)</f>
        <v>1</v>
      </c>
      <c r="F9" s="25">
        <f t="shared" si="0"/>
        <v>4</v>
      </c>
      <c r="G9" s="25">
        <f t="shared" si="1"/>
        <v>4</v>
      </c>
    </row>
    <row r="10" spans="1:7">
      <c r="B10" s="9" t="s">
        <v>20</v>
      </c>
      <c r="C10" s="10">
        <f>COUNTIFS(Resp3[Vínculo],"tecnico",Resp3[3.09],B10)</f>
        <v>4</v>
      </c>
      <c r="D10" s="10">
        <f>COUNTIFS(Resp3[Vínculo],"docente",Resp3[3.09],B10)</f>
        <v>5</v>
      </c>
      <c r="E10" s="10">
        <f>COUNTIF(Resp3[3.09],B10)</f>
        <v>9</v>
      </c>
      <c r="F10" s="25">
        <f t="shared" si="0"/>
        <v>36</v>
      </c>
      <c r="G10" s="25">
        <f t="shared" si="1"/>
        <v>36</v>
      </c>
    </row>
    <row r="11" spans="1:7">
      <c r="B11" s="9" t="s">
        <v>13</v>
      </c>
      <c r="C11" s="10">
        <f>COUNTIFS(Resp3[Vínculo],"tecnico",Resp3[3.09],B11)</f>
        <v>5</v>
      </c>
      <c r="D11" s="10">
        <f>COUNTIFS(Resp3[Vínculo],"docente",Resp3[3.09],B11)</f>
        <v>5</v>
      </c>
      <c r="E11" s="10">
        <f>COUNTIF(Resp3[3.09],B11)</f>
        <v>10</v>
      </c>
      <c r="F11" s="25">
        <f t="shared" si="0"/>
        <v>40</v>
      </c>
      <c r="G11" s="25">
        <f t="shared" si="1"/>
        <v>40</v>
      </c>
    </row>
    <row r="12" spans="1:7">
      <c r="B12" s="26" t="s">
        <v>16</v>
      </c>
      <c r="C12" s="10">
        <f>COUNTIFS(Resp3[Vínculo],"tecnico",Resp3[3.09],B12)</f>
        <v>2</v>
      </c>
      <c r="D12" s="10">
        <f>COUNTIFS(Resp3[Vínculo],"docente",Resp3[3.09],B12)</f>
        <v>2</v>
      </c>
      <c r="E12" s="10">
        <f>COUNTIF(Resp3[3.09],B12)</f>
        <v>4</v>
      </c>
      <c r="F12" s="102">
        <f t="shared" si="0"/>
        <v>16</v>
      </c>
      <c r="G12" s="25">
        <f t="shared" si="1"/>
        <v>16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0</v>
      </c>
      <c r="E20" s="10">
        <f>ROUND(D20/SUM(D$19:D$22)*100,3)</f>
        <v>0</v>
      </c>
    </row>
    <row r="21" spans="2:7">
      <c r="B21" s="31" t="s">
        <v>20</v>
      </c>
      <c r="C21" s="31" t="s">
        <v>90</v>
      </c>
      <c r="D21" s="15">
        <f>C10</f>
        <v>4</v>
      </c>
      <c r="E21" s="10">
        <f>ROUND(D21/SUM(D$19:D$22)*100,3)</f>
        <v>36.363999999999997</v>
      </c>
    </row>
    <row r="22" spans="2:7">
      <c r="B22" s="32" t="s">
        <v>96</v>
      </c>
      <c r="C22" s="32" t="s">
        <v>95</v>
      </c>
      <c r="D22" s="33">
        <f>SUM(C11:C12)</f>
        <v>7</v>
      </c>
      <c r="E22" s="34">
        <f>ROUND(D22/SUM(D$19:D$22)*100,3)</f>
        <v>63.636000000000003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7.1429999999999998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7.1429999999999998</v>
      </c>
    </row>
    <row r="28" spans="2:7">
      <c r="B28" s="31" t="s">
        <v>20</v>
      </c>
      <c r="C28" s="31" t="s">
        <v>90</v>
      </c>
      <c r="D28" s="15">
        <f>SUM(D10)</f>
        <v>5</v>
      </c>
      <c r="E28" s="44">
        <f>ROUND(D28/SUM(D$26:D$29)*100,3)</f>
        <v>35.713999999999999</v>
      </c>
    </row>
    <row r="29" spans="2:7">
      <c r="B29" s="32" t="s">
        <v>96</v>
      </c>
      <c r="C29" s="32" t="s">
        <v>95</v>
      </c>
      <c r="D29" s="33">
        <f>SUM(D11:D12)</f>
        <v>7</v>
      </c>
      <c r="E29" s="45">
        <f>ROUND(D29/SUM(D$26:D$29)*100,3)</f>
        <v>50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COUNTIFS(Resp3[Vínculo],"tecnico",Resp3[3.10],B7)</f>
        <v>1</v>
      </c>
      <c r="D7" s="10">
        <f>COUNTIFS(Resp3[Vínculo],"docente",Resp3[3.10],B7)</f>
        <v>2</v>
      </c>
      <c r="E7" s="10">
        <f>COUNTIF(Resp3[3.10],B7)</f>
        <v>3</v>
      </c>
      <c r="F7" s="25">
        <f t="shared" ref="F7:F13" si="0">ROUND($E7/$E$13*100,2)</f>
        <v>12</v>
      </c>
      <c r="G7" s="25">
        <f>ROUND($E7/SUM($E$7:$E$12)*100,3)</f>
        <v>12</v>
      </c>
    </row>
    <row r="8" spans="1:7">
      <c r="B8" s="9" t="s">
        <v>21</v>
      </c>
      <c r="C8" s="10">
        <f>COUNTIFS(Resp3[Vínculo],"tecnico",Resp3[3.10],B8)</f>
        <v>1</v>
      </c>
      <c r="D8" s="10">
        <f>COUNTIFS(Resp3[Vínculo],"docente",Resp3[3.10],B8)</f>
        <v>1</v>
      </c>
      <c r="E8" s="10">
        <f>COUNTIF(Resp3[3.10],B8)</f>
        <v>2</v>
      </c>
      <c r="F8" s="25">
        <f t="shared" si="0"/>
        <v>8</v>
      </c>
      <c r="G8" s="25">
        <f t="shared" ref="G8:G12" si="1">ROUND($E8/SUM($E$7:$E$12)*100,3)</f>
        <v>8</v>
      </c>
    </row>
    <row r="9" spans="1:7">
      <c r="B9" s="9" t="s">
        <v>22</v>
      </c>
      <c r="C9" s="10">
        <f>COUNTIFS(Resp3[Vínculo],"tecnico",Resp3[3.10],B9)</f>
        <v>0</v>
      </c>
      <c r="D9" s="10">
        <f>COUNTIFS(Resp3[Vínculo],"docente",Resp3[3.10],B9)</f>
        <v>1</v>
      </c>
      <c r="E9" s="10">
        <f>COUNTIF(Resp3[3.10],B9)</f>
        <v>1</v>
      </c>
      <c r="F9" s="25">
        <f t="shared" si="0"/>
        <v>4</v>
      </c>
      <c r="G9" s="25">
        <f t="shared" si="1"/>
        <v>4</v>
      </c>
    </row>
    <row r="10" spans="1:7">
      <c r="B10" s="9" t="s">
        <v>20</v>
      </c>
      <c r="C10" s="10">
        <f>COUNTIFS(Resp3[Vínculo],"tecnico",Resp3[3.10],B10)</f>
        <v>1</v>
      </c>
      <c r="D10" s="10">
        <f>COUNTIFS(Resp3[Vínculo],"docente",Resp3[3.10],B10)</f>
        <v>5</v>
      </c>
      <c r="E10" s="10">
        <f>COUNTIF(Resp3[3.10],B10)</f>
        <v>6</v>
      </c>
      <c r="F10" s="25">
        <f t="shared" si="0"/>
        <v>24</v>
      </c>
      <c r="G10" s="25">
        <f t="shared" si="1"/>
        <v>24</v>
      </c>
    </row>
    <row r="11" spans="1:7">
      <c r="B11" s="9" t="s">
        <v>13</v>
      </c>
      <c r="C11" s="10">
        <f>COUNTIFS(Resp3[Vínculo],"tecnico",Resp3[3.10],B11)</f>
        <v>7</v>
      </c>
      <c r="D11" s="10">
        <f>COUNTIFS(Resp3[Vínculo],"docente",Resp3[3.10],B11)</f>
        <v>3</v>
      </c>
      <c r="E11" s="10">
        <f>COUNTIF(Resp3[3.10],B11)</f>
        <v>10</v>
      </c>
      <c r="F11" s="25">
        <f t="shared" si="0"/>
        <v>40</v>
      </c>
      <c r="G11" s="25">
        <f t="shared" si="1"/>
        <v>40</v>
      </c>
    </row>
    <row r="12" spans="1:7">
      <c r="B12" s="26" t="s">
        <v>16</v>
      </c>
      <c r="C12" s="10">
        <f>COUNTIFS(Resp3[Vínculo],"tecnico",Resp3[3.10],B12)</f>
        <v>1</v>
      </c>
      <c r="D12" s="10">
        <f>COUNTIFS(Resp3[Vínculo],"docente",Resp3[3.10],B12)</f>
        <v>2</v>
      </c>
      <c r="E12" s="10">
        <f>COUNTIF(Resp3[3.10],B12)</f>
        <v>3</v>
      </c>
      <c r="F12" s="102">
        <f t="shared" si="0"/>
        <v>12</v>
      </c>
      <c r="G12" s="25">
        <f t="shared" si="1"/>
        <v>12</v>
      </c>
    </row>
    <row r="13" spans="1:7">
      <c r="B13" s="27" t="s">
        <v>167</v>
      </c>
      <c r="C13" s="11">
        <f>SUM(C6:C12)</f>
        <v>11</v>
      </c>
      <c r="D13" s="11">
        <f>SUM(D6:D12)</f>
        <v>14</v>
      </c>
      <c r="E13" s="11">
        <f>SUM(C13:D13)</f>
        <v>25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9.0909999999999993</v>
      </c>
    </row>
    <row r="20" spans="2:5">
      <c r="B20" s="30" t="s">
        <v>181</v>
      </c>
      <c r="C20" s="30" t="s">
        <v>78</v>
      </c>
      <c r="D20" s="15">
        <f>C7</f>
        <v>1</v>
      </c>
      <c r="E20" s="10">
        <f>ROUND(D20/SUM(D$19:D$22)*100,3)</f>
        <v>9.0909999999999993</v>
      </c>
    </row>
    <row r="21" spans="2:5">
      <c r="B21" s="31" t="s">
        <v>20</v>
      </c>
      <c r="C21" s="31" t="s">
        <v>90</v>
      </c>
      <c r="D21" s="15">
        <f>C10</f>
        <v>1</v>
      </c>
      <c r="E21" s="10">
        <f>ROUND(D21/SUM(D$19:D$22)*100,3)</f>
        <v>9.0909999999999993</v>
      </c>
    </row>
    <row r="22" spans="2:5">
      <c r="B22" s="32" t="s">
        <v>96</v>
      </c>
      <c r="C22" s="32" t="s">
        <v>95</v>
      </c>
      <c r="D22" s="33">
        <f>SUM(C11:C12)</f>
        <v>8</v>
      </c>
      <c r="E22" s="34">
        <f>ROUND(D22/SUM(D$19:D$22)*100,3)</f>
        <v>72.727000000000004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14.286</v>
      </c>
    </row>
    <row r="27" spans="2:5">
      <c r="B27" s="30" t="s">
        <v>181</v>
      </c>
      <c r="C27" s="30" t="s">
        <v>78</v>
      </c>
      <c r="D27" s="15">
        <f>D7</f>
        <v>2</v>
      </c>
      <c r="E27" s="44">
        <f>ROUND(D27/SUM(D$26:D$29)*100,3)</f>
        <v>14.286</v>
      </c>
    </row>
    <row r="28" spans="2:5">
      <c r="B28" s="31" t="s">
        <v>20</v>
      </c>
      <c r="C28" s="31" t="s">
        <v>90</v>
      </c>
      <c r="D28" s="15">
        <f>SUM(D10)</f>
        <v>5</v>
      </c>
      <c r="E28" s="44">
        <f>ROUND(D28/SUM(D$26:D$29)*100,3)</f>
        <v>35.713999999999999</v>
      </c>
    </row>
    <row r="29" spans="2:5">
      <c r="B29" s="32" t="s">
        <v>96</v>
      </c>
      <c r="C29" s="32" t="s">
        <v>95</v>
      </c>
      <c r="D29" s="33">
        <f>SUM(D11:D12)</f>
        <v>5</v>
      </c>
      <c r="E29" s="45">
        <f>ROUND(D29/SUM(D$26:D$29)*100,3)</f>
        <v>35.713999999999999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4"/>
  <sheetViews>
    <sheetView showGridLines="0" tabSelected="1" topLeftCell="D33" zoomScaleNormal="100" workbookViewId="0">
      <selection activeCell="E69" sqref="E69"/>
    </sheetView>
  </sheetViews>
  <sheetFormatPr defaultRowHeight="15"/>
  <cols>
    <col min="1" max="1" width="19.140625" style="54" customWidth="1"/>
    <col min="2" max="2" width="30.42578125" style="54" customWidth="1"/>
    <col min="3" max="3" width="27.710937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8</v>
      </c>
      <c r="B26" s="87">
        <f>COUNTIF(Resp2[Vínculo],A26)</f>
        <v>13</v>
      </c>
      <c r="C26" s="87">
        <f>COUNTIF(Resp3[Vínculo],A26)</f>
        <v>11</v>
      </c>
      <c r="D26" s="87">
        <v>32</v>
      </c>
      <c r="E26" s="88">
        <f>ROUND(B26/$D26*100,3)</f>
        <v>40.625</v>
      </c>
      <c r="F26" s="88">
        <f>ROUND(C26/$D26*100,3)</f>
        <v>34.375</v>
      </c>
    </row>
    <row r="27" spans="1:15">
      <c r="A27" s="86" t="s">
        <v>14</v>
      </c>
      <c r="B27" s="87">
        <f>COUNTIF(Resp2[Vínculo],A27)</f>
        <v>14</v>
      </c>
      <c r="C27" s="87">
        <f>COUNTIF(Resp3[Vínculo],A27)</f>
        <v>14</v>
      </c>
      <c r="D27" s="87">
        <v>75</v>
      </c>
      <c r="E27" s="88">
        <f t="shared" ref="E27:E28" si="0">ROUND(B27/$D27*100,3)</f>
        <v>18.667000000000002</v>
      </c>
      <c r="F27" s="88">
        <f t="shared" ref="F27:F28" si="1">ROUND(C27/$D27*100,3)</f>
        <v>18.667000000000002</v>
      </c>
    </row>
    <row r="28" spans="1:15">
      <c r="A28" s="89" t="s">
        <v>65</v>
      </c>
      <c r="B28" s="87">
        <f>SUM(B26:B27)</f>
        <v>27</v>
      </c>
      <c r="C28" s="87">
        <f>SUM(C26:C27)</f>
        <v>25</v>
      </c>
      <c r="D28" s="87">
        <f>SUM(D26:D27)</f>
        <v>107</v>
      </c>
      <c r="E28" s="88">
        <f t="shared" si="0"/>
        <v>25.234000000000002</v>
      </c>
      <c r="F28" s="88">
        <f t="shared" si="1"/>
        <v>23.364000000000001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8">
      <c r="A33" s="54" t="s">
        <v>68</v>
      </c>
    </row>
    <row r="34" spans="1:8">
      <c r="A34" s="54" t="s">
        <v>69</v>
      </c>
    </row>
    <row r="37" spans="1:8" ht="15.75">
      <c r="A37" s="58" t="s">
        <v>70</v>
      </c>
      <c r="B37" s="58" t="s">
        <v>71</v>
      </c>
      <c r="C37" s="58" t="s">
        <v>72</v>
      </c>
      <c r="D37" s="58" t="s">
        <v>73</v>
      </c>
      <c r="E37" s="58" t="s">
        <v>74</v>
      </c>
      <c r="G37" s="57" t="s">
        <v>50</v>
      </c>
      <c r="H37" s="56"/>
    </row>
    <row r="38" spans="1:8" ht="15.75">
      <c r="A38" s="64" t="s">
        <v>75</v>
      </c>
      <c r="B38" s="133" t="s">
        <v>76</v>
      </c>
      <c r="C38" s="134" t="s">
        <v>77</v>
      </c>
      <c r="D38" s="64"/>
      <c r="E38" s="64"/>
      <c r="G38" s="59" t="s">
        <v>78</v>
      </c>
      <c r="H38" s="59" t="s">
        <v>79</v>
      </c>
    </row>
    <row r="39" spans="1:8" ht="15.75">
      <c r="A39" s="64" t="s">
        <v>80</v>
      </c>
      <c r="B39" s="135" t="s">
        <v>81</v>
      </c>
      <c r="C39" s="135" t="s">
        <v>82</v>
      </c>
      <c r="D39" s="64" t="s">
        <v>83</v>
      </c>
      <c r="E39" s="64" t="s">
        <v>84</v>
      </c>
      <c r="G39" s="60" t="s">
        <v>85</v>
      </c>
      <c r="H39" s="136" t="s">
        <v>86</v>
      </c>
    </row>
    <row r="40" spans="1:8" ht="15.75">
      <c r="A40" s="64" t="s">
        <v>87</v>
      </c>
      <c r="B40" s="137" t="s">
        <v>88</v>
      </c>
      <c r="C40" s="135" t="s">
        <v>89</v>
      </c>
      <c r="D40" s="64" t="s">
        <v>84</v>
      </c>
      <c r="E40" s="64"/>
      <c r="G40" s="61" t="s">
        <v>90</v>
      </c>
      <c r="H40" s="138" t="s">
        <v>20</v>
      </c>
    </row>
    <row r="41" spans="1:8" ht="15.75">
      <c r="A41" s="64" t="s">
        <v>91</v>
      </c>
      <c r="B41" s="135" t="s">
        <v>92</v>
      </c>
      <c r="C41" s="135" t="s">
        <v>93</v>
      </c>
      <c r="D41" s="64" t="s">
        <v>94</v>
      </c>
      <c r="E41" s="64" t="s">
        <v>83</v>
      </c>
      <c r="G41" s="63" t="s">
        <v>95</v>
      </c>
      <c r="H41" s="139" t="s">
        <v>96</v>
      </c>
    </row>
    <row r="42" spans="1:8" ht="15.75">
      <c r="A42" s="64" t="s">
        <v>97</v>
      </c>
      <c r="B42" s="137" t="s">
        <v>98</v>
      </c>
      <c r="C42" s="135" t="s">
        <v>99</v>
      </c>
      <c r="D42" s="64"/>
      <c r="E42" s="64"/>
      <c r="G42" s="56"/>
      <c r="H42" s="56"/>
    </row>
    <row r="43" spans="1:8" ht="15.75">
      <c r="A43" s="64" t="s">
        <v>100</v>
      </c>
      <c r="B43" s="64" t="s">
        <v>100</v>
      </c>
      <c r="C43" s="64"/>
      <c r="D43" s="64"/>
      <c r="E43" s="64"/>
      <c r="G43" s="57" t="s">
        <v>101</v>
      </c>
      <c r="H43" s="126" t="s">
        <v>102</v>
      </c>
    </row>
    <row r="44" spans="1:8" ht="15.75">
      <c r="A44" s="64" t="s">
        <v>103</v>
      </c>
      <c r="B44" s="64"/>
      <c r="C44" s="64"/>
      <c r="D44" s="64"/>
      <c r="E44" s="64"/>
      <c r="G44" s="59" t="s">
        <v>78</v>
      </c>
      <c r="H44" s="59" t="s">
        <v>104</v>
      </c>
    </row>
    <row r="45" spans="1:8" ht="15.75">
      <c r="A45" s="56"/>
      <c r="B45" s="127"/>
      <c r="C45" s="128"/>
      <c r="D45" s="128"/>
      <c r="E45" s="128"/>
      <c r="F45" s="128"/>
      <c r="G45" s="60" t="s">
        <v>85</v>
      </c>
      <c r="H45" s="136" t="s">
        <v>105</v>
      </c>
    </row>
    <row r="46" spans="1:8" ht="15.75">
      <c r="A46" s="56"/>
      <c r="B46" s="56"/>
      <c r="C46" s="56"/>
      <c r="D46" s="56"/>
      <c r="E46" s="56"/>
      <c r="F46" s="56"/>
      <c r="G46" s="61" t="s">
        <v>90</v>
      </c>
      <c r="H46" s="138" t="s">
        <v>106</v>
      </c>
    </row>
    <row r="47" spans="1:8" ht="15.75">
      <c r="A47" s="56"/>
      <c r="B47" s="56"/>
      <c r="C47" s="140"/>
      <c r="D47" s="140"/>
      <c r="E47" s="56"/>
      <c r="F47" s="56"/>
      <c r="G47" s="63" t="s">
        <v>95</v>
      </c>
      <c r="H47" s="139" t="s">
        <v>107</v>
      </c>
    </row>
    <row r="48" spans="1:8" ht="15.75">
      <c r="A48" s="56"/>
      <c r="B48" s="56"/>
      <c r="C48" s="141"/>
      <c r="D48" s="56"/>
      <c r="E48" s="56"/>
      <c r="F48" s="56"/>
      <c r="G48" s="56"/>
      <c r="H48" s="56"/>
    </row>
    <row r="49" spans="1:8" ht="15.75">
      <c r="A49" s="56"/>
      <c r="B49" s="56"/>
      <c r="C49" s="141"/>
      <c r="D49" s="56"/>
      <c r="E49" s="56"/>
      <c r="F49" s="56"/>
      <c r="G49" s="57" t="s">
        <v>108</v>
      </c>
      <c r="H49" s="56"/>
    </row>
    <row r="50" spans="1:8" ht="15.75">
      <c r="A50" s="56"/>
      <c r="B50" s="56"/>
      <c r="C50" s="141"/>
      <c r="D50" s="128"/>
      <c r="E50" s="56"/>
      <c r="F50" s="56"/>
      <c r="G50" s="60" t="s">
        <v>85</v>
      </c>
      <c r="H50" s="60" t="s">
        <v>109</v>
      </c>
    </row>
    <row r="51" spans="1:8" ht="15.75">
      <c r="A51" s="56"/>
      <c r="B51" s="56"/>
      <c r="C51" s="141"/>
      <c r="D51" s="56"/>
      <c r="E51" s="56"/>
      <c r="F51" s="56"/>
      <c r="G51" s="61" t="s">
        <v>90</v>
      </c>
      <c r="H51" s="138" t="s">
        <v>110</v>
      </c>
    </row>
    <row r="52" spans="1:8" ht="15.75">
      <c r="A52" s="56"/>
      <c r="B52" s="56"/>
      <c r="C52" s="56"/>
      <c r="D52" s="56"/>
      <c r="E52" s="56"/>
      <c r="F52" s="56"/>
      <c r="G52" s="63" t="s">
        <v>95</v>
      </c>
      <c r="H52" s="139" t="s">
        <v>111</v>
      </c>
    </row>
    <row r="53" spans="1:8" ht="15.75">
      <c r="A53" s="56"/>
      <c r="B53" s="56"/>
      <c r="C53" s="56"/>
      <c r="D53" s="56"/>
      <c r="E53" s="56"/>
      <c r="F53" s="56"/>
      <c r="G53" s="56"/>
      <c r="H53" s="56"/>
    </row>
    <row r="54" spans="1:8" ht="15.75">
      <c r="D54" s="56"/>
      <c r="E54" s="56"/>
      <c r="F54" s="56"/>
      <c r="G54" s="57" t="s">
        <v>112</v>
      </c>
      <c r="H54" s="56"/>
    </row>
    <row r="55" spans="1:8" ht="15.75">
      <c r="D55" s="56"/>
      <c r="E55" s="56"/>
      <c r="F55" s="56"/>
      <c r="G55" s="60" t="s">
        <v>85</v>
      </c>
      <c r="H55" s="60" t="s">
        <v>94</v>
      </c>
    </row>
    <row r="56" spans="1:8" ht="15.75">
      <c r="D56" s="56"/>
      <c r="E56" s="56"/>
      <c r="F56" s="56"/>
      <c r="G56" s="61" t="s">
        <v>90</v>
      </c>
      <c r="H56" s="62" t="s">
        <v>84</v>
      </c>
    </row>
    <row r="57" spans="1:8" ht="15.75">
      <c r="D57" s="56"/>
      <c r="E57" s="56"/>
      <c r="F57" s="56"/>
      <c r="G57" s="63" t="s">
        <v>95</v>
      </c>
      <c r="H57" s="63" t="s">
        <v>83</v>
      </c>
    </row>
    <row r="58" spans="1:8" ht="15.75">
      <c r="D58" s="56"/>
      <c r="E58" s="56"/>
      <c r="F58" s="56"/>
      <c r="G58" s="56"/>
      <c r="H58" s="56"/>
    </row>
    <row r="59" spans="1:8" ht="15.75">
      <c r="D59" s="56"/>
      <c r="E59" s="56"/>
      <c r="F59" s="56"/>
      <c r="G59" s="57" t="s">
        <v>113</v>
      </c>
      <c r="H59" s="56"/>
    </row>
    <row r="60" spans="1:8" ht="15.75">
      <c r="D60" s="56"/>
      <c r="E60" s="56"/>
      <c r="F60" s="56"/>
      <c r="G60" s="60" t="s">
        <v>85</v>
      </c>
      <c r="H60" s="60" t="s">
        <v>83</v>
      </c>
    </row>
    <row r="61" spans="1:8" ht="15.75">
      <c r="D61" s="56"/>
      <c r="E61" s="56"/>
      <c r="F61" s="56"/>
      <c r="G61" s="63" t="s">
        <v>95</v>
      </c>
      <c r="H61" s="63" t="s">
        <v>84</v>
      </c>
    </row>
    <row r="63" spans="1:8" ht="15.75">
      <c r="G63" s="57" t="s">
        <v>114</v>
      </c>
    </row>
    <row r="64" spans="1:8" ht="15.75">
      <c r="G64" s="56" t="s">
        <v>115</v>
      </c>
      <c r="H64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3" sqref="E3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1712</v>
      </c>
      <c r="D6" s="9">
        <f>1724-SUM(D7:D11)</f>
        <v>1711</v>
      </c>
      <c r="E6" s="10">
        <f>1724-SUM(E7:E11)</f>
        <v>1699</v>
      </c>
      <c r="F6" s="25">
        <f>ROUND($E6/1724*100,2)</f>
        <v>98.55</v>
      </c>
    </row>
    <row r="7" spans="1:7">
      <c r="B7" s="9" t="s">
        <v>23</v>
      </c>
      <c r="C7" s="10">
        <f>COUNTIFS(Resp2[Vínculo],"tecnico",Resp2[2.06],B7)</f>
        <v>1</v>
      </c>
      <c r="D7" s="10">
        <f>COUNTIFS(Resp2[Vínculo],"docente",Resp2[2.06],B7)</f>
        <v>2</v>
      </c>
      <c r="E7" s="10">
        <f>COUNTIF(Resp2[2.06],B7)</f>
        <v>3</v>
      </c>
      <c r="F7" s="25">
        <f>ROUND($E7/1724*100,2)</f>
        <v>0.17</v>
      </c>
      <c r="G7" s="25">
        <f>ROUND($E7/SUM($E$7:$E$11)*100,3)</f>
        <v>12</v>
      </c>
    </row>
    <row r="8" spans="1:7">
      <c r="B8" s="9" t="s">
        <v>21</v>
      </c>
      <c r="C8" s="10">
        <f>COUNTIFS(Resp2[Vínculo],"tecnico",Resp2[2.06],B8)</f>
        <v>0</v>
      </c>
      <c r="D8" s="10">
        <f>COUNTIFS(Resp2[Vínculo],"docente",Resp2[2.06],B8)</f>
        <v>2</v>
      </c>
      <c r="E8" s="10">
        <f>COUNTIF(Resp2[2.06],B8)</f>
        <v>2</v>
      </c>
      <c r="F8" s="25">
        <f t="shared" ref="F8:F12" si="0">ROUND($E8/1724*100,2)</f>
        <v>0.12</v>
      </c>
      <c r="G8" s="25">
        <f t="shared" ref="G8:G11" si="1">ROUND($E8/SUM($E$7:$E$11)*100,3)</f>
        <v>8</v>
      </c>
    </row>
    <row r="9" spans="1:7">
      <c r="B9" s="9" t="s">
        <v>20</v>
      </c>
      <c r="C9" s="10">
        <f>COUNTIFS(Resp2[Vínculo],"tecnico",Resp2[2.06],B9)</f>
        <v>5</v>
      </c>
      <c r="D9" s="10">
        <f>COUNTIFS(Resp2[Vínculo],"docente",Resp2[2.06],B9)</f>
        <v>3</v>
      </c>
      <c r="E9" s="10">
        <f>COUNTIF(Resp2[2.06],B9)</f>
        <v>8</v>
      </c>
      <c r="F9" s="25">
        <f t="shared" si="0"/>
        <v>0.46</v>
      </c>
      <c r="G9" s="25">
        <f t="shared" si="1"/>
        <v>32</v>
      </c>
    </row>
    <row r="10" spans="1:7">
      <c r="B10" s="9" t="s">
        <v>13</v>
      </c>
      <c r="C10" s="10">
        <f>COUNTIFS(Resp2[Vínculo],"tecnico",Resp2[2.06],B10)</f>
        <v>4</v>
      </c>
      <c r="D10" s="10">
        <f>COUNTIFS(Resp2[Vínculo],"docente",Resp2[2.06],B10)</f>
        <v>3</v>
      </c>
      <c r="E10" s="10">
        <f>COUNTIF(Resp2[2.06],B10)</f>
        <v>7</v>
      </c>
      <c r="F10" s="25">
        <f t="shared" si="0"/>
        <v>0.41</v>
      </c>
      <c r="G10" s="25">
        <f t="shared" si="1"/>
        <v>28</v>
      </c>
    </row>
    <row r="11" spans="1:7">
      <c r="B11" s="26" t="s">
        <v>16</v>
      </c>
      <c r="C11" s="10">
        <f>COUNTIFS(Resp2[Vínculo],"tecnico",Resp2[2.06],B11)</f>
        <v>2</v>
      </c>
      <c r="D11" s="10">
        <f>COUNTIFS(Resp2[Vínculo],"docente",Resp2[2.06],B11)</f>
        <v>3</v>
      </c>
      <c r="E11" s="10">
        <f>COUNTIF(Resp2[2.06],B11)</f>
        <v>5</v>
      </c>
      <c r="F11" s="25">
        <f t="shared" si="0"/>
        <v>0.28999999999999998</v>
      </c>
      <c r="G11" s="25">
        <f t="shared" si="1"/>
        <v>20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1461</v>
      </c>
      <c r="D6" s="9">
        <f>1470-SUM(D7:D11)</f>
        <v>1456</v>
      </c>
      <c r="E6" s="10">
        <f>1470-SUM(E7:E11)</f>
        <v>1447</v>
      </c>
      <c r="F6" s="25">
        <f>ROUND($E6/1470*100,2)</f>
        <v>98.44</v>
      </c>
    </row>
    <row r="7" spans="1:7">
      <c r="B7" s="9" t="s">
        <v>23</v>
      </c>
      <c r="C7" s="10">
        <f>COUNTIFS(Resp3[Vínculo],"tecnico",Resp3[3.01],B7)</f>
        <v>2</v>
      </c>
      <c r="D7" s="10">
        <f>COUNTIFS(Resp3[Vínculo],"docente",Resp3[3.01],B7)</f>
        <v>8</v>
      </c>
      <c r="E7" s="10">
        <f>COUNTIF(Resp3[3.01],B7)</f>
        <v>10</v>
      </c>
      <c r="F7" s="25">
        <f t="shared" ref="F7:F12" si="0">ROUND($E7/1470*100,2)</f>
        <v>0.68</v>
      </c>
      <c r="G7" s="25">
        <f>ROUND($E7/SUM($E$7:$E$11)*100,3)</f>
        <v>43.478000000000002</v>
      </c>
    </row>
    <row r="8" spans="1:7">
      <c r="B8" s="9" t="s">
        <v>21</v>
      </c>
      <c r="C8" s="10">
        <f>COUNTIFS(Resp3[Vínculo],"tecnico",Resp3[3.01],B8)</f>
        <v>0</v>
      </c>
      <c r="D8" s="10">
        <f>COUNTIFS(Resp3[Vínculo],"docente",Resp3[3.01],B8)</f>
        <v>1</v>
      </c>
      <c r="E8" s="10">
        <f>COUNTIF(Resp3[3.01],B8)</f>
        <v>1</v>
      </c>
      <c r="F8" s="25">
        <f t="shared" si="0"/>
        <v>7.0000000000000007E-2</v>
      </c>
      <c r="G8" s="25">
        <f t="shared" ref="G8:G11" si="1">ROUND($E8/SUM($E$7:$E$11)*100,3)</f>
        <v>4.3479999999999999</v>
      </c>
    </row>
    <row r="9" spans="1:7">
      <c r="B9" s="9" t="s">
        <v>20</v>
      </c>
      <c r="C9" s="10">
        <f>COUNTIFS(Resp3[Vínculo],"tecnico",Resp3[3.01],B9)</f>
        <v>1</v>
      </c>
      <c r="D9" s="10">
        <f>COUNTIFS(Resp3[Vínculo],"docente",Resp3[3.01],B9)</f>
        <v>1</v>
      </c>
      <c r="E9" s="10">
        <f>COUNTIF(Resp3[3.01],B9)</f>
        <v>2</v>
      </c>
      <c r="F9" s="25">
        <f t="shared" si="0"/>
        <v>0.14000000000000001</v>
      </c>
      <c r="G9" s="25">
        <f t="shared" si="1"/>
        <v>8.6959999999999997</v>
      </c>
    </row>
    <row r="10" spans="1:7">
      <c r="B10" s="9" t="s">
        <v>13</v>
      </c>
      <c r="C10" s="10">
        <f>COUNTIFS(Resp3[Vínculo],"tecnico",Resp3[3.01],B10)</f>
        <v>5</v>
      </c>
      <c r="D10" s="10">
        <f>COUNTIFS(Resp3[Vínculo],"docente",Resp3[3.01],B10)</f>
        <v>3</v>
      </c>
      <c r="E10" s="10">
        <f>COUNTIF(Resp3[3.01],B10)</f>
        <v>8</v>
      </c>
      <c r="F10" s="25">
        <f t="shared" si="0"/>
        <v>0.54</v>
      </c>
      <c r="G10" s="25">
        <f t="shared" si="1"/>
        <v>34.783000000000001</v>
      </c>
    </row>
    <row r="11" spans="1:7">
      <c r="B11" s="26" t="s">
        <v>16</v>
      </c>
      <c r="C11" s="10">
        <f>COUNTIFS(Resp3[Vínculo],"tecnico",Resp3[3.01],B11)</f>
        <v>1</v>
      </c>
      <c r="D11" s="10">
        <f>COUNTIFS(Resp3[Vínculo],"docente",Resp3[3.01],B11)</f>
        <v>1</v>
      </c>
      <c r="E11" s="10">
        <f>COUNTIF(Resp3[3.01],B11)</f>
        <v>2</v>
      </c>
      <c r="F11" s="25">
        <f t="shared" si="0"/>
        <v>0.14000000000000001</v>
      </c>
      <c r="G11" s="25">
        <f t="shared" si="1"/>
        <v>8.6959999999999997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100.001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90" zoomScaleNormal="90" workbookViewId="0">
      <selection activeCell="G37" sqref="G37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5</v>
      </c>
      <c r="D7" s="18">
        <f>COUNTIFS(Resp2[Vínculo],"docente",Resp2[2.01],C17)</f>
        <v>1</v>
      </c>
      <c r="E7" s="13">
        <f>COUNTIF(Resp2[2.01],C17)</f>
        <v>6</v>
      </c>
      <c r="F7" s="14">
        <f>ROUND($E7/$E$10*100,2)</f>
        <v>22.22</v>
      </c>
      <c r="G7" s="13">
        <f>ROUND($E7/SUM($E$7:$E$9)*100,2)</f>
        <v>22.22</v>
      </c>
    </row>
    <row r="8" spans="1:8" ht="15" customHeight="1">
      <c r="B8" s="18" t="s">
        <v>84</v>
      </c>
      <c r="C8" s="18">
        <f>COUNTIFS(Resp2[Vínculo],"tecnico",Resp2[2.01],C18)</f>
        <v>3</v>
      </c>
      <c r="D8" s="18">
        <f>COUNTIFS(Resp2[Vínculo],"docente",Resp2[2.01],C18)</f>
        <v>8</v>
      </c>
      <c r="E8" s="13">
        <f>COUNTIF(Resp2[2.01],C18)</f>
        <v>11</v>
      </c>
      <c r="F8" s="14">
        <f t="shared" ref="F8:F10" si="0">ROUND($E8/$E$10*100,2)</f>
        <v>40.74</v>
      </c>
      <c r="G8" s="13">
        <f>ROUND($E8/SUM($E$7:$E$9)*100,2)</f>
        <v>40.74</v>
      </c>
    </row>
    <row r="9" spans="1:8" ht="15" customHeight="1">
      <c r="B9" s="18" t="s">
        <v>94</v>
      </c>
      <c r="C9" s="18">
        <f>COUNTIFS(Resp2[Vínculo],"tecnico",Resp2[2.01],C19)</f>
        <v>5</v>
      </c>
      <c r="D9" s="95">
        <f>COUNTIFS(Resp2[Vínculo],"docente",Resp2[2.01],C19)</f>
        <v>5</v>
      </c>
      <c r="E9" s="96">
        <f>COUNTIF(Resp2[2.01],C19)</f>
        <v>10</v>
      </c>
      <c r="F9" s="97">
        <f t="shared" si="0"/>
        <v>37.04</v>
      </c>
      <c r="G9" s="96">
        <f>ROUND($E9/SUM($E$7:$E$9)*100,2)</f>
        <v>37.04</v>
      </c>
    </row>
    <row r="10" spans="1:8" ht="15" customHeight="1">
      <c r="B10" s="11" t="s">
        <v>167</v>
      </c>
      <c r="C10" s="11">
        <f>SUM(C6:C9)</f>
        <v>13</v>
      </c>
      <c r="D10" s="9">
        <f>SUM(D6:D9)</f>
        <v>14</v>
      </c>
      <c r="E10" s="15">
        <f>SUM(C10:D10)</f>
        <v>27</v>
      </c>
      <c r="F10" s="104">
        <f t="shared" si="0"/>
        <v>100</v>
      </c>
      <c r="G10" s="103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15</v>
      </c>
    </row>
    <row r="18" spans="1:5" ht="15" customHeight="1">
      <c r="B18" t="s">
        <v>84</v>
      </c>
      <c r="C18" s="21" t="s">
        <v>17</v>
      </c>
    </row>
    <row r="19" spans="1:5">
      <c r="B19" t="s">
        <v>94</v>
      </c>
      <c r="C19" s="21" t="s">
        <v>10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5</v>
      </c>
      <c r="E25" s="44">
        <f>ROUND(D25/SUM(D$25:D$28)*100,3)</f>
        <v>38.462000000000003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3</v>
      </c>
      <c r="E27" s="44">
        <f t="shared" ref="E27:E28" si="1">ROUND(D27/SUM(D$25:D$28)*100,3)</f>
        <v>23.077000000000002</v>
      </c>
    </row>
    <row r="28" spans="1:5">
      <c r="B28" s="52" t="s">
        <v>83</v>
      </c>
      <c r="C28" s="52" t="s">
        <v>95</v>
      </c>
      <c r="D28" s="33">
        <f>C7</f>
        <v>5</v>
      </c>
      <c r="E28" s="45">
        <f t="shared" si="1"/>
        <v>38.462000000000003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5</v>
      </c>
      <c r="E34" s="44">
        <f>ROUND(D34/SUM(D$34:D$37)*100,3)</f>
        <v>35.713999999999999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8</v>
      </c>
      <c r="E36" s="44">
        <f t="shared" ref="E36:E37" si="2">ROUND(D36/SUM(D$34:D$37)*100,3)</f>
        <v>57.143000000000001</v>
      </c>
    </row>
    <row r="37" spans="1:5">
      <c r="B37" s="52" t="s">
        <v>83</v>
      </c>
      <c r="C37" s="52" t="s">
        <v>95</v>
      </c>
      <c r="D37" s="33">
        <f>D7</f>
        <v>1</v>
      </c>
      <c r="E37" s="45">
        <f t="shared" si="2"/>
        <v>7.1429999999999998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3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8</v>
      </c>
      <c r="D7" s="17">
        <f>COUNTIFS(Resp2[Vínculo],"docente",Resp2[2.02],C17)</f>
        <v>11</v>
      </c>
      <c r="E7" s="15">
        <f>COUNTIF(Resp2[2.02],C17)</f>
        <v>19</v>
      </c>
      <c r="F7" s="10">
        <f>ROUND($E7/$E$9*100,2)</f>
        <v>70.37</v>
      </c>
      <c r="G7" s="9">
        <f>ROUND($E7/SUM($E$7:$E$8)*100,2)</f>
        <v>70.37</v>
      </c>
    </row>
    <row r="8" spans="1:7">
      <c r="B8" s="17" t="s">
        <v>84</v>
      </c>
      <c r="C8" s="17">
        <f>COUNTIFS(Resp2[Vínculo],"tecnico",Resp2[2.02],C18)</f>
        <v>5</v>
      </c>
      <c r="D8" s="98">
        <f>COUNTIFS(Resp2[Vínculo],"docente",Resp2[2.02],C18)</f>
        <v>3</v>
      </c>
      <c r="E8" s="99">
        <f>COUNTIF(Resp2[2.02],C18)</f>
        <v>8</v>
      </c>
      <c r="F8" s="100">
        <f>ROUND($E8/$E$9*100,2)</f>
        <v>29.63</v>
      </c>
      <c r="G8" s="101">
        <f>ROUND($E8/SUM($E$7:$E$8)*100,2)</f>
        <v>29.63</v>
      </c>
    </row>
    <row r="9" spans="1:7">
      <c r="B9" s="11" t="s">
        <v>167</v>
      </c>
      <c r="C9" s="11">
        <f>SUM(C6:C8)</f>
        <v>13</v>
      </c>
      <c r="D9" s="9">
        <f>SUM(D6:D8)</f>
        <v>14</v>
      </c>
      <c r="E9" s="9">
        <f>SUM(C9:D9)</f>
        <v>27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18</v>
      </c>
    </row>
    <row r="18" spans="1:5">
      <c r="B18" t="s">
        <v>84</v>
      </c>
      <c r="C18" s="24" t="s">
        <v>11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8</v>
      </c>
      <c r="E22" s="44">
        <f>ROUND(D22/SUM(D$22:D$25)*100,3)</f>
        <v>61.537999999999997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5</v>
      </c>
      <c r="E25" s="45">
        <f>ROUND(D25/SUM(D$22:D$25)*100,3)</f>
        <v>38.462000000000003</v>
      </c>
    </row>
    <row r="26" spans="1:5">
      <c r="A26" s="130"/>
      <c r="D26">
        <f>SUM(D22:D25)</f>
        <v>13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11</v>
      </c>
      <c r="E29" s="44">
        <f>ROUND(D29/SUM(D$29:D$32)*100,3)</f>
        <v>78.570999999999998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3</v>
      </c>
      <c r="E32" s="45">
        <f>ROUND(D32/SUM(D$29:D$32)*100,3)</f>
        <v>21.428999999999998</v>
      </c>
    </row>
    <row r="33" spans="4:4">
      <c r="D33">
        <f>SUM(D29:D32)</f>
        <v>14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5</v>
      </c>
      <c r="D7" s="10">
        <f>COUNTIFS(Resp2[Vínculo],"docente",Resp2[2.03],B7)</f>
        <v>2</v>
      </c>
      <c r="E7" s="9">
        <f>COUNTIF(Resp2[2.03],B7)</f>
        <v>7</v>
      </c>
      <c r="F7" s="10">
        <f t="shared" ref="F7:F9" si="0">ROUND($E7/$E$9*100,2)</f>
        <v>25.93</v>
      </c>
      <c r="G7" s="10">
        <f>ROUND($E7/SUM($E$7:$E$8)*100,2)</f>
        <v>25.93</v>
      </c>
    </row>
    <row r="8" spans="1:7">
      <c r="B8" s="9" t="s">
        <v>19</v>
      </c>
      <c r="C8" s="10">
        <f>COUNTIFS(Resp2[Vínculo],"tecnico",Resp2[2.03],B8)</f>
        <v>8</v>
      </c>
      <c r="D8" s="10">
        <f>COUNTIFS(Resp2[Vínculo],"docente",Resp2[2.03],B8)</f>
        <v>12</v>
      </c>
      <c r="E8" s="9">
        <f>COUNTIF(Resp2[2.03],B8)</f>
        <v>20</v>
      </c>
      <c r="F8" s="100">
        <f>ROUND($E8/$E$9*100,2)</f>
        <v>74.069999999999993</v>
      </c>
      <c r="G8" s="100">
        <f>ROUND($E8/SUM($E$7:$E$8)*100,2)</f>
        <v>74.069999999999993</v>
      </c>
    </row>
    <row r="9" spans="1:7">
      <c r="B9" s="11" t="s">
        <v>167</v>
      </c>
      <c r="C9" s="11">
        <f>SUM(C6:C8)</f>
        <v>13</v>
      </c>
      <c r="D9" s="11">
        <f>SUM(D6:D8)</f>
        <v>14</v>
      </c>
      <c r="E9" s="11">
        <f>SUM(C9:D9)</f>
        <v>27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2022-01-14T16:30:30Z</dcterms:modified>
  <cp:category/>
  <cp:contentStatus/>
</cp:coreProperties>
</file>